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heckCompatibility="1" autoCompressPictures="0"/>
  <bookViews>
    <workbookView xWindow="240" yWindow="240" windowWidth="25360" windowHeight="14180" tabRatio="536"/>
  </bookViews>
  <sheets>
    <sheet name="Compilation Dressage" sheetId="1" r:id="rId1"/>
    <sheet name="Compilation ECombine" sheetId="26" r:id="rId2"/>
    <sheet name="Feuil1" sheetId="23" r:id="rId3"/>
  </sheets>
  <definedNames>
    <definedName name="_xlnm._FilterDatabase" localSheetId="0" hidden="1">'Compilation Dressage'!$A$33:$K$38</definedName>
    <definedName name="_xlnm.Print_Area" localSheetId="0">'Compilation Dressage'!$A$1:$K$119</definedName>
    <definedName name="_xlnm.Print_Area" localSheetId="1">'Compilation ECombine'!$A$1:$AL$36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8" i="1" l="1"/>
  <c r="AM7" i="1"/>
  <c r="AM5" i="1"/>
  <c r="AM4" i="1"/>
  <c r="AM17" i="1"/>
  <c r="AM14" i="1"/>
  <c r="AM12" i="1"/>
  <c r="AM11" i="1"/>
  <c r="AM27" i="1"/>
  <c r="AM26" i="1"/>
  <c r="AM25" i="1"/>
  <c r="AM24" i="1"/>
  <c r="AM21" i="1"/>
  <c r="AM37" i="1"/>
  <c r="AM33" i="1"/>
  <c r="AM40" i="1"/>
  <c r="AM41" i="1"/>
  <c r="AM54" i="1"/>
  <c r="AM51" i="1"/>
  <c r="AM72" i="1"/>
  <c r="AM78" i="1"/>
  <c r="AM84" i="1"/>
  <c r="AM85" i="1"/>
  <c r="AM86" i="1"/>
  <c r="AK84" i="1"/>
  <c r="AK85" i="1"/>
  <c r="AK26" i="1"/>
  <c r="AK27" i="1"/>
  <c r="AK119" i="1"/>
  <c r="AK118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1" i="1"/>
  <c r="AK100" i="1"/>
  <c r="AK99" i="1"/>
  <c r="AK98" i="1"/>
  <c r="AK96" i="1"/>
  <c r="AK95" i="1"/>
  <c r="AK94" i="1"/>
  <c r="AK93" i="1"/>
  <c r="AK92" i="1"/>
  <c r="AK91" i="1"/>
  <c r="AK89" i="1"/>
  <c r="AK88" i="1"/>
  <c r="AK86" i="1"/>
  <c r="AK83" i="1"/>
  <c r="AK82" i="1"/>
  <c r="AK80" i="1"/>
  <c r="AK79" i="1"/>
  <c r="AK78" i="1"/>
  <c r="AK77" i="1"/>
  <c r="AK76" i="1"/>
  <c r="AK75" i="1"/>
  <c r="AK74" i="1"/>
  <c r="AK73" i="1"/>
  <c r="AK72" i="1"/>
  <c r="AK70" i="1"/>
  <c r="AK69" i="1"/>
  <c r="AK68" i="1"/>
  <c r="AK67" i="1"/>
  <c r="AK66" i="1"/>
  <c r="AK65" i="1"/>
  <c r="AK64" i="1"/>
  <c r="AK62" i="1"/>
  <c r="AK61" i="1"/>
  <c r="AK60" i="1"/>
  <c r="AK58" i="1"/>
  <c r="AK57" i="1"/>
  <c r="AK56" i="1"/>
  <c r="AK55" i="1"/>
  <c r="AK54" i="1"/>
  <c r="AK53" i="1"/>
  <c r="AK52" i="1"/>
  <c r="AK51" i="1"/>
  <c r="AK49" i="1"/>
  <c r="AK48" i="1"/>
  <c r="AK47" i="1"/>
  <c r="AK46" i="1"/>
  <c r="AK45" i="1"/>
  <c r="AK44" i="1"/>
  <c r="AK43" i="1"/>
  <c r="AK42" i="1"/>
  <c r="AK41" i="1"/>
  <c r="AK40" i="1"/>
  <c r="AK38" i="1"/>
  <c r="AK37" i="1"/>
  <c r="AK36" i="1"/>
  <c r="AK35" i="1"/>
  <c r="AK34" i="1"/>
  <c r="AK33" i="1"/>
  <c r="AK31" i="1"/>
  <c r="AK30" i="1"/>
  <c r="AK28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K11" i="1"/>
  <c r="AK9" i="1"/>
  <c r="AK8" i="1"/>
  <c r="AK7" i="1"/>
  <c r="AK6" i="1"/>
  <c r="AK5" i="1"/>
  <c r="AK4" i="1"/>
  <c r="AK3" i="1"/>
  <c r="L72" i="1"/>
  <c r="AD95" i="1"/>
  <c r="AD92" i="1"/>
  <c r="AD78" i="1"/>
  <c r="AD77" i="1"/>
  <c r="AD76" i="1"/>
  <c r="AD74" i="1"/>
  <c r="AD72" i="1"/>
  <c r="AD57" i="1"/>
  <c r="AD56" i="1"/>
  <c r="AD52" i="1"/>
  <c r="AD54" i="1"/>
  <c r="AD51" i="1"/>
  <c r="AD48" i="1"/>
  <c r="AD41" i="1"/>
  <c r="AD33" i="1"/>
  <c r="AD40" i="1"/>
  <c r="AD34" i="1"/>
  <c r="AD37" i="1"/>
  <c r="AD25" i="1"/>
  <c r="AD24" i="1"/>
  <c r="AD14" i="1"/>
  <c r="AD13" i="1"/>
  <c r="AD12" i="1"/>
  <c r="AD11" i="1"/>
  <c r="AD6" i="1"/>
  <c r="AD5" i="1"/>
  <c r="AD4" i="1"/>
  <c r="AD3" i="1"/>
  <c r="AB12" i="1"/>
  <c r="AB4" i="1"/>
  <c r="AB5" i="1"/>
  <c r="AB6" i="1"/>
  <c r="AB7" i="1"/>
  <c r="AB8" i="1"/>
  <c r="U78" i="1"/>
  <c r="U77" i="1"/>
  <c r="U76" i="1"/>
  <c r="U74" i="1"/>
  <c r="U24" i="1"/>
  <c r="U23" i="1"/>
  <c r="U22" i="1"/>
  <c r="U14" i="1"/>
  <c r="U13" i="1"/>
  <c r="U12" i="1"/>
  <c r="L93" i="1"/>
  <c r="L92" i="1"/>
  <c r="L91" i="1"/>
  <c r="L75" i="1"/>
  <c r="L74" i="1"/>
  <c r="L73" i="1"/>
  <c r="L69" i="1"/>
  <c r="L68" i="1"/>
  <c r="L67" i="1"/>
  <c r="L66" i="1"/>
  <c r="L64" i="1"/>
  <c r="L53" i="1"/>
  <c r="L54" i="1"/>
  <c r="L52" i="1"/>
  <c r="L51" i="1"/>
  <c r="L46" i="1"/>
  <c r="L45" i="1"/>
  <c r="L43" i="1"/>
  <c r="L42" i="1"/>
  <c r="L41" i="1"/>
  <c r="L40" i="1"/>
  <c r="L33" i="1"/>
  <c r="L36" i="1"/>
  <c r="L34" i="1"/>
  <c r="L35" i="1"/>
  <c r="L22" i="1"/>
  <c r="L21" i="1"/>
  <c r="L20" i="1"/>
  <c r="L16" i="1"/>
  <c r="L15" i="1"/>
  <c r="L14" i="1"/>
  <c r="L13" i="1"/>
  <c r="L12" i="1"/>
  <c r="L11" i="1"/>
  <c r="AB119" i="1"/>
  <c r="AB118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1" i="1"/>
  <c r="AB100" i="1"/>
  <c r="AB99" i="1"/>
  <c r="AB98" i="1"/>
  <c r="AB96" i="1"/>
  <c r="AB95" i="1"/>
  <c r="AB94" i="1"/>
  <c r="AB93" i="1"/>
  <c r="AB92" i="1"/>
  <c r="AB91" i="1"/>
  <c r="AB89" i="1"/>
  <c r="AB88" i="1"/>
  <c r="AB86" i="1"/>
  <c r="AB83" i="1"/>
  <c r="AB82" i="1"/>
  <c r="AB80" i="1"/>
  <c r="AB79" i="1"/>
  <c r="AB78" i="1"/>
  <c r="AB77" i="1"/>
  <c r="AB76" i="1"/>
  <c r="AB75" i="1"/>
  <c r="AB74" i="1"/>
  <c r="AB73" i="1"/>
  <c r="AB72" i="1"/>
  <c r="AB70" i="1"/>
  <c r="AB69" i="1"/>
  <c r="AB68" i="1"/>
  <c r="AB67" i="1"/>
  <c r="AB66" i="1"/>
  <c r="AB65" i="1"/>
  <c r="AB64" i="1"/>
  <c r="AB62" i="1"/>
  <c r="AB61" i="1"/>
  <c r="AB60" i="1"/>
  <c r="AB58" i="1"/>
  <c r="AB57" i="1"/>
  <c r="AB56" i="1"/>
  <c r="AB55" i="1"/>
  <c r="AB54" i="1"/>
  <c r="AB53" i="1"/>
  <c r="AB52" i="1"/>
  <c r="AB51" i="1"/>
  <c r="AB49" i="1"/>
  <c r="AB48" i="1"/>
  <c r="AB47" i="1"/>
  <c r="AB46" i="1"/>
  <c r="AB45" i="1"/>
  <c r="AB44" i="1"/>
  <c r="AB43" i="1"/>
  <c r="AB42" i="1"/>
  <c r="AB41" i="1"/>
  <c r="AB40" i="1"/>
  <c r="AB38" i="1"/>
  <c r="AB37" i="1"/>
  <c r="AB36" i="1"/>
  <c r="AB35" i="1"/>
  <c r="AB34" i="1"/>
  <c r="AB33" i="1"/>
  <c r="AB31" i="1"/>
  <c r="AB30" i="1"/>
  <c r="AB28" i="1"/>
  <c r="AB25" i="1"/>
  <c r="AB24" i="1"/>
  <c r="AB23" i="1"/>
  <c r="AB22" i="1"/>
  <c r="AB21" i="1"/>
  <c r="AB20" i="1"/>
  <c r="AB18" i="1"/>
  <c r="AB17" i="1"/>
  <c r="AB16" i="1"/>
  <c r="AB15" i="1"/>
  <c r="AB14" i="1"/>
  <c r="AB13" i="1"/>
  <c r="AB11" i="1"/>
  <c r="AB9" i="1"/>
  <c r="AB3" i="1"/>
  <c r="S77" i="1"/>
  <c r="S78" i="1"/>
  <c r="S65" i="1"/>
  <c r="S55" i="1"/>
  <c r="S56" i="1"/>
  <c r="J55" i="1"/>
  <c r="J56" i="1"/>
  <c r="S25" i="1"/>
  <c r="J25" i="1"/>
  <c r="S24" i="1"/>
  <c r="J24" i="1"/>
  <c r="S60" i="1"/>
  <c r="S119" i="1"/>
  <c r="S118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1" i="1"/>
  <c r="S100" i="1"/>
  <c r="S99" i="1"/>
  <c r="S98" i="1"/>
  <c r="S96" i="1"/>
  <c r="S95" i="1"/>
  <c r="S94" i="1"/>
  <c r="S93" i="1"/>
  <c r="S92" i="1"/>
  <c r="S91" i="1"/>
  <c r="S89" i="1"/>
  <c r="S88" i="1"/>
  <c r="S86" i="1"/>
  <c r="S83" i="1"/>
  <c r="S82" i="1"/>
  <c r="S80" i="1"/>
  <c r="S79" i="1"/>
  <c r="S76" i="1"/>
  <c r="S75" i="1"/>
  <c r="S74" i="1"/>
  <c r="S73" i="1"/>
  <c r="S72" i="1"/>
  <c r="S70" i="1"/>
  <c r="S69" i="1"/>
  <c r="S68" i="1"/>
  <c r="S67" i="1"/>
  <c r="S66" i="1"/>
  <c r="S64" i="1"/>
  <c r="S62" i="1"/>
  <c r="S61" i="1"/>
  <c r="S58" i="1"/>
  <c r="S57" i="1"/>
  <c r="S54" i="1"/>
  <c r="S53" i="1"/>
  <c r="S52" i="1"/>
  <c r="S51" i="1"/>
  <c r="S49" i="1"/>
  <c r="S48" i="1"/>
  <c r="S47" i="1"/>
  <c r="S46" i="1"/>
  <c r="S45" i="1"/>
  <c r="S44" i="1"/>
  <c r="S43" i="1"/>
  <c r="S42" i="1"/>
  <c r="S41" i="1"/>
  <c r="S40" i="1"/>
  <c r="S38" i="1"/>
  <c r="S37" i="1"/>
  <c r="S36" i="1"/>
  <c r="S35" i="1"/>
  <c r="S34" i="1"/>
  <c r="S33" i="1"/>
  <c r="S31" i="1"/>
  <c r="S30" i="1"/>
  <c r="S28" i="1"/>
  <c r="S23" i="1"/>
  <c r="S22" i="1"/>
  <c r="S21" i="1"/>
  <c r="S20" i="1"/>
  <c r="S18" i="1"/>
  <c r="S17" i="1"/>
  <c r="S16" i="1"/>
  <c r="S15" i="1"/>
  <c r="S14" i="1"/>
  <c r="S13" i="1"/>
  <c r="S12" i="1"/>
  <c r="S11" i="1"/>
  <c r="S9" i="1"/>
  <c r="S3" i="1"/>
  <c r="P19" i="26"/>
  <c r="F19" i="26"/>
  <c r="M19" i="26"/>
  <c r="N19" i="26"/>
  <c r="P17" i="26"/>
  <c r="F17" i="26"/>
  <c r="M17" i="26"/>
  <c r="N17" i="26"/>
  <c r="Y11" i="26"/>
  <c r="Y10" i="26"/>
  <c r="Y9" i="26"/>
  <c r="Y8" i="26"/>
  <c r="Y7" i="26"/>
  <c r="Y6" i="26"/>
  <c r="Y5" i="26"/>
  <c r="Y4" i="26"/>
  <c r="Y18" i="26"/>
  <c r="R18" i="26"/>
  <c r="Z18" i="26"/>
  <c r="Y19" i="26"/>
  <c r="R19" i="26"/>
  <c r="Z19" i="26"/>
  <c r="Y20" i="26"/>
  <c r="R20" i="26"/>
  <c r="Z20" i="26"/>
  <c r="Y21" i="26"/>
  <c r="R21" i="26"/>
  <c r="Z21" i="26"/>
  <c r="Y22" i="26"/>
  <c r="R22" i="26"/>
  <c r="Z22" i="26"/>
  <c r="Y23" i="26"/>
  <c r="R23" i="26"/>
  <c r="Z23" i="26"/>
  <c r="Y24" i="26"/>
  <c r="R24" i="26"/>
  <c r="Z24" i="26"/>
  <c r="AD19" i="26"/>
  <c r="AK19" i="26"/>
  <c r="AL19" i="26"/>
  <c r="AD20" i="26"/>
  <c r="AK20" i="26"/>
  <c r="AL20" i="26"/>
  <c r="AD21" i="26"/>
  <c r="AK21" i="26"/>
  <c r="AL21" i="26"/>
  <c r="AD22" i="26"/>
  <c r="AK22" i="26"/>
  <c r="AL22" i="26"/>
  <c r="AD23" i="26"/>
  <c r="AK23" i="26"/>
  <c r="AL23" i="26"/>
  <c r="AD24" i="26"/>
  <c r="AK24" i="26"/>
  <c r="AL24" i="26"/>
  <c r="R11" i="26"/>
  <c r="Z11" i="26"/>
  <c r="J104" i="1"/>
  <c r="J105" i="1"/>
  <c r="J106" i="1"/>
  <c r="J99" i="1"/>
  <c r="J100" i="1"/>
  <c r="J101" i="1"/>
  <c r="J93" i="1"/>
  <c r="J92" i="1"/>
  <c r="J91" i="1"/>
  <c r="J95" i="1"/>
  <c r="J96" i="1"/>
  <c r="J94" i="1"/>
  <c r="J75" i="1"/>
  <c r="J73" i="1"/>
  <c r="J72" i="1"/>
  <c r="J76" i="1"/>
  <c r="J79" i="1"/>
  <c r="J80" i="1"/>
  <c r="J66" i="1"/>
  <c r="J69" i="1"/>
  <c r="J64" i="1"/>
  <c r="J67" i="1"/>
  <c r="J70" i="1"/>
  <c r="J61" i="1"/>
  <c r="J62" i="1"/>
  <c r="J58" i="1"/>
  <c r="J47" i="1"/>
  <c r="J42" i="1"/>
  <c r="J44" i="1"/>
  <c r="J46" i="1"/>
  <c r="J40" i="1"/>
  <c r="J45" i="1"/>
  <c r="J43" i="1"/>
  <c r="J48" i="1"/>
  <c r="J49" i="1"/>
  <c r="J21" i="1"/>
  <c r="J22" i="1"/>
  <c r="J23" i="1"/>
  <c r="J28" i="1"/>
  <c r="J16" i="1"/>
  <c r="J13" i="1"/>
  <c r="J14" i="1"/>
  <c r="J12" i="1"/>
  <c r="J15" i="1"/>
  <c r="J17" i="1"/>
  <c r="J18" i="1"/>
  <c r="J11" i="1"/>
  <c r="J89" i="1"/>
  <c r="J103" i="1"/>
  <c r="J60" i="1"/>
  <c r="J98" i="1"/>
  <c r="J83" i="1"/>
  <c r="J82" i="1"/>
  <c r="J86" i="1"/>
  <c r="J74" i="1"/>
  <c r="J68" i="1"/>
  <c r="J54" i="1"/>
  <c r="J57" i="1"/>
  <c r="J52" i="1"/>
  <c r="J53" i="1"/>
  <c r="J51" i="1"/>
  <c r="J41" i="1"/>
  <c r="J37" i="1"/>
  <c r="J34" i="1"/>
  <c r="J33" i="1"/>
  <c r="J36" i="1"/>
  <c r="J35" i="1"/>
  <c r="J20" i="1"/>
  <c r="J3" i="1"/>
  <c r="J9" i="1"/>
  <c r="R35" i="26"/>
  <c r="R34" i="26"/>
  <c r="Y34" i="26"/>
  <c r="Z34" i="26"/>
  <c r="Y35" i="26"/>
  <c r="Y36" i="26"/>
  <c r="R36" i="26"/>
  <c r="Z36" i="26"/>
  <c r="R5" i="26"/>
  <c r="Z5" i="26"/>
  <c r="R6" i="26"/>
  <c r="Z6" i="26"/>
  <c r="R7" i="26"/>
  <c r="Z7" i="26"/>
  <c r="R8" i="26"/>
  <c r="Z8" i="26"/>
  <c r="R9" i="26"/>
  <c r="Z9" i="26"/>
  <c r="R10" i="26"/>
  <c r="Z10" i="26"/>
  <c r="AJ34" i="26"/>
  <c r="AJ32" i="26"/>
  <c r="AD8" i="26"/>
  <c r="AK8" i="26"/>
  <c r="AL8" i="26"/>
  <c r="AK32" i="26"/>
  <c r="AD32" i="26"/>
  <c r="AL32" i="26"/>
  <c r="AK17" i="26"/>
  <c r="AD17" i="26"/>
  <c r="AL17" i="26"/>
  <c r="AK18" i="26"/>
  <c r="AD18" i="26"/>
  <c r="AL18" i="26"/>
  <c r="AK9" i="26"/>
  <c r="AD9" i="26"/>
  <c r="AL9" i="26"/>
  <c r="AK5" i="26"/>
  <c r="AD5" i="26"/>
  <c r="AL5" i="26"/>
  <c r="AK6" i="26"/>
  <c r="AD6" i="26"/>
  <c r="AL6" i="26"/>
  <c r="AK7" i="26"/>
  <c r="AD7" i="26"/>
  <c r="AL7" i="26"/>
  <c r="AK10" i="26"/>
  <c r="AD10" i="26"/>
  <c r="AL10" i="26"/>
  <c r="AK11" i="26"/>
  <c r="AD11" i="26"/>
  <c r="AL11" i="26"/>
  <c r="AK33" i="26"/>
  <c r="AD33" i="26"/>
  <c r="AL33" i="26"/>
  <c r="AK34" i="26"/>
  <c r="AD34" i="26"/>
  <c r="AL34" i="26"/>
  <c r="AK35" i="26"/>
  <c r="AD35" i="26"/>
  <c r="AL35" i="26"/>
  <c r="AK36" i="26"/>
  <c r="AD36" i="26"/>
  <c r="AL36" i="26"/>
  <c r="AD4" i="26"/>
  <c r="F33" i="26"/>
  <c r="M33" i="26"/>
  <c r="N33" i="26"/>
  <c r="F32" i="26"/>
  <c r="M32" i="26"/>
  <c r="N32" i="26"/>
  <c r="F10" i="26"/>
  <c r="M10" i="26"/>
  <c r="N10" i="26"/>
  <c r="F4" i="26"/>
  <c r="M4" i="26"/>
  <c r="N4" i="26"/>
  <c r="R33" i="26"/>
  <c r="Y33" i="26"/>
  <c r="Z33" i="26"/>
  <c r="R32" i="26"/>
  <c r="Y32" i="26"/>
  <c r="Z32" i="26"/>
  <c r="R17" i="26"/>
  <c r="Y17" i="26"/>
  <c r="Z17" i="26"/>
  <c r="R4" i="26"/>
  <c r="Z4" i="26"/>
  <c r="AK4" i="26"/>
  <c r="J119" i="1"/>
  <c r="J120" i="1"/>
  <c r="J121" i="1"/>
  <c r="J122" i="1"/>
  <c r="J123" i="1"/>
  <c r="J124" i="1"/>
  <c r="J125" i="1"/>
  <c r="J126" i="1"/>
  <c r="J127" i="1"/>
  <c r="J128" i="1"/>
  <c r="J118" i="1"/>
  <c r="J107" i="1"/>
  <c r="J108" i="1"/>
  <c r="J109" i="1"/>
  <c r="J110" i="1"/>
  <c r="J111" i="1"/>
  <c r="J112" i="1"/>
  <c r="J113" i="1"/>
  <c r="J114" i="1"/>
  <c r="J115" i="1"/>
  <c r="J116" i="1"/>
  <c r="J88" i="1"/>
  <c r="J38" i="1"/>
  <c r="J31" i="1"/>
  <c r="J30" i="1"/>
  <c r="Z35" i="26"/>
  <c r="AB4" i="26"/>
  <c r="P32" i="26"/>
  <c r="AB17" i="26"/>
  <c r="AB32" i="26"/>
  <c r="P33" i="26"/>
  <c r="AB33" i="26"/>
  <c r="P10" i="26"/>
  <c r="P4" i="26"/>
  <c r="AB11" i="26"/>
  <c r="AB10" i="26"/>
</calcChain>
</file>

<file path=xl/sharedStrings.xml><?xml version="1.0" encoding="utf-8"?>
<sst xmlns="http://schemas.openxmlformats.org/spreadsheetml/2006/main" count="916" uniqueCount="213">
  <si>
    <t>NOM DU CAVALIER</t>
  </si>
  <si>
    <t xml:space="preserve">       # DE COMPÉTITEUR</t>
  </si>
  <si>
    <t>NOM DU CHEVAL</t>
  </si>
  <si>
    <t>Initiation Poney</t>
  </si>
  <si>
    <t>Initiation Junior</t>
  </si>
  <si>
    <t>Initiation Adulte Non-Pro</t>
  </si>
  <si>
    <t>Initiation Ouvert</t>
  </si>
  <si>
    <t>Entrainement Poney</t>
  </si>
  <si>
    <t>Entrainement Junior</t>
  </si>
  <si>
    <t>Entrainement Adulte Non-Pro</t>
  </si>
  <si>
    <t>Entrainement Ouvert</t>
  </si>
  <si>
    <t>Niveau 1 Poney</t>
  </si>
  <si>
    <t>Niveau 1 - Junior</t>
  </si>
  <si>
    <t>Niveau 1 - Adulte Non-Pro</t>
  </si>
  <si>
    <t>Niveau 1 - Ouvert</t>
  </si>
  <si>
    <t>Niveau 2 - Ouvert</t>
  </si>
  <si>
    <t>Niveau 3 - Ouvert</t>
  </si>
  <si>
    <t>Test 1</t>
  </si>
  <si>
    <t>Test 2</t>
  </si>
  <si>
    <t>Test 3</t>
  </si>
  <si>
    <t>Distribution des points si un cavalier seul dans la section</t>
  </si>
  <si>
    <t xml:space="preserve">et + </t>
  </si>
  <si>
    <t>Total de la journée</t>
  </si>
  <si>
    <t>Position</t>
  </si>
  <si>
    <t>Championnat</t>
  </si>
  <si>
    <t>Niveau 4 - Ouvert</t>
  </si>
  <si>
    <t>FEI Junior</t>
  </si>
  <si>
    <t>Pré-débutant</t>
  </si>
  <si>
    <t>Reprise</t>
  </si>
  <si>
    <t>Pénalité</t>
  </si>
  <si>
    <t>Total pénalités</t>
  </si>
  <si>
    <t>Pénalité de temps</t>
  </si>
  <si>
    <t>Débutant</t>
  </si>
  <si>
    <t>Total final</t>
  </si>
  <si>
    <t>Pénalité Saut non-fixe</t>
  </si>
  <si>
    <t>Pénalité Saut fixe</t>
  </si>
  <si>
    <t>Dessage</t>
  </si>
  <si>
    <t>Phase de saut</t>
  </si>
  <si>
    <t>Royales 8-9 août</t>
  </si>
  <si>
    <t>Diligences 5-6 septembre</t>
  </si>
  <si>
    <t xml:space="preserve">Temps optimal </t>
  </si>
  <si>
    <t>Pré-entrainement</t>
  </si>
  <si>
    <t>Vitesse (m/min) Optimal 325m/min</t>
  </si>
  <si>
    <t>Geronimo Stilton</t>
  </si>
  <si>
    <t>Franck, Agatha</t>
  </si>
  <si>
    <t>May-bee</t>
  </si>
  <si>
    <t>Gauthier-Leduc, Aryane</t>
  </si>
  <si>
    <t>Baril-bergeron, Sarah</t>
  </si>
  <si>
    <t>Arthur</t>
  </si>
  <si>
    <t>Bennacer-Langlois, Sarah</t>
  </si>
  <si>
    <t>Catlin's Creation CWA</t>
  </si>
  <si>
    <t>Bernier, Catherine</t>
  </si>
  <si>
    <t>Bédard, Camille</t>
  </si>
  <si>
    <t>Léopold</t>
  </si>
  <si>
    <t>Turcotte, Julie</t>
  </si>
  <si>
    <t>Proulx-Desautels, Kim</t>
  </si>
  <si>
    <t>Maheu, Stéphanie</t>
  </si>
  <si>
    <t>It's all about me</t>
  </si>
  <si>
    <t>Gatambira, Sarah</t>
  </si>
  <si>
    <t>Vitesse (m/min) Optimal 350m/min</t>
  </si>
  <si>
    <t>Cognyl-Fournier, Marianne</t>
  </si>
  <si>
    <t>Imagine</t>
  </si>
  <si>
    <t>Dao</t>
  </si>
  <si>
    <t>Genest, Marianne</t>
  </si>
  <si>
    <t>Coupal, Chloé</t>
  </si>
  <si>
    <t>Georgio Armani</t>
  </si>
  <si>
    <t>Bruno</t>
  </si>
  <si>
    <t>Lussier, Daphnée</t>
  </si>
  <si>
    <t>Talbot, Marie-Claude</t>
  </si>
  <si>
    <t>La Roche, Florence</t>
  </si>
  <si>
    <t>Bureau, Catherine</t>
  </si>
  <si>
    <t>Brûlotte - Dulude, Éloise</t>
  </si>
  <si>
    <t>Nelson GF</t>
  </si>
  <si>
    <t>Temps du parcours</t>
  </si>
  <si>
    <t>Pénalité de temps (aucune entre 106 et 114sec)</t>
  </si>
  <si>
    <t>Temps optimal</t>
  </si>
  <si>
    <t xml:space="preserve">Calcul du temps optimal : </t>
  </si>
  <si>
    <t>(Distance/vitesse optimal)*60= temps (sec)</t>
  </si>
  <si>
    <t xml:space="preserve">Temps limite (élimination) : </t>
  </si>
  <si>
    <t>(temps optimal)*2=temps (sec)</t>
  </si>
  <si>
    <t>Temps minimal (sans excès de vitesse) :</t>
  </si>
  <si>
    <t>(Distance/vitesse optimal du niveau supérieur)*60= temps (sec)</t>
  </si>
  <si>
    <t xml:space="preserve">Pénalité de temps: </t>
  </si>
  <si>
    <t xml:space="preserve">Dépassement du temps optinal: </t>
  </si>
  <si>
    <t>=0.4 point /seconde</t>
  </si>
  <si>
    <t xml:space="preserve">Sous temps minimal : </t>
  </si>
  <si>
    <t>=1 point/seconde</t>
  </si>
  <si>
    <t xml:space="preserve">Pour les points championnat : </t>
  </si>
  <si>
    <t>= (7-position)*nbr de cavalier dans la classe</t>
  </si>
  <si>
    <t>Si plus de 6 cavaliers, mettre 0,5*nbr de cavalier aux autres participants</t>
  </si>
  <si>
    <t xml:space="preserve">Beauregard, Florence </t>
  </si>
  <si>
    <t>Belliard, Loïc</t>
  </si>
  <si>
    <t>Chagnon, Sarah Maud</t>
  </si>
  <si>
    <t>Gagnon, Jean-Francois</t>
  </si>
  <si>
    <t>Sheitan Blues</t>
  </si>
  <si>
    <t>Samurail Sweet Luna</t>
  </si>
  <si>
    <t>Gauvin, Kellyann</t>
  </si>
  <si>
    <t>Gilbert, Caroline</t>
  </si>
  <si>
    <t>Jutras, Alizée</t>
  </si>
  <si>
    <t>Labrecque, Marie</t>
  </si>
  <si>
    <t>Lebel, Simon</t>
  </si>
  <si>
    <t>Lechasseur, Laurie-Anne</t>
  </si>
  <si>
    <t>Lemaire, Lily-Rose</t>
  </si>
  <si>
    <t>Primavera</t>
  </si>
  <si>
    <t>Lussier, Julianne</t>
  </si>
  <si>
    <t>Ménard-Tétreault, Yuhan</t>
  </si>
  <si>
    <t>Mercier Lafond, Alexia</t>
  </si>
  <si>
    <t>Morin, Marie-Laurence</t>
  </si>
  <si>
    <t>Morissette, Jade</t>
  </si>
  <si>
    <t>Perdion, Patricia</t>
  </si>
  <si>
    <t>Robitalle, Magella</t>
  </si>
  <si>
    <t>Saint-Pierre, Mathilde</t>
  </si>
  <si>
    <t>Salois, Cindy</t>
  </si>
  <si>
    <t>Bromont 7 mai 2016</t>
  </si>
  <si>
    <t>Bromont 7-8 mai 2016</t>
  </si>
  <si>
    <t>Bergeron, Maxim</t>
  </si>
  <si>
    <t>Gauthier, Laurie</t>
  </si>
  <si>
    <t>Gilbert, Valérie</t>
  </si>
  <si>
    <t>Graveline, Marianne</t>
  </si>
  <si>
    <t>Hansford, Mindy-Sue</t>
  </si>
  <si>
    <t>Jetté, Laurie</t>
  </si>
  <si>
    <t>Tiffinger, Alexandria</t>
  </si>
  <si>
    <t>Sevigny, Carl-William</t>
  </si>
  <si>
    <t>Rodier</t>
  </si>
  <si>
    <t>Maddox</t>
  </si>
  <si>
    <t>Geisha</t>
  </si>
  <si>
    <t>Bella</t>
  </si>
  <si>
    <t>R de Lys</t>
  </si>
  <si>
    <t>First date</t>
  </si>
  <si>
    <t>Beau Flo</t>
  </si>
  <si>
    <t>Weirito</t>
  </si>
  <si>
    <t>Crown Gucci</t>
  </si>
  <si>
    <t>Hansen, Scarlet</t>
  </si>
  <si>
    <t>Rêve  de Glatiny</t>
  </si>
  <si>
    <t>Rythm and Blues</t>
  </si>
  <si>
    <t>Sam Song</t>
  </si>
  <si>
    <t>Jasmine</t>
  </si>
  <si>
    <t>Barbie</t>
  </si>
  <si>
    <t>D. Rubi Nuance</t>
  </si>
  <si>
    <t>Too Jazzy for You</t>
  </si>
  <si>
    <t>Gusty</t>
  </si>
  <si>
    <t>Soprano</t>
  </si>
  <si>
    <t>Kid Silver Bonanza</t>
  </si>
  <si>
    <t>Falko</t>
  </si>
  <si>
    <t>Sprite</t>
  </si>
  <si>
    <t>Tatoum</t>
  </si>
  <si>
    <t>Galopin</t>
  </si>
  <si>
    <t>Ménard-Tétreault, Julie</t>
  </si>
  <si>
    <t>Sweet Dream</t>
  </si>
  <si>
    <t>B.Willy Wonka</t>
  </si>
  <si>
    <t>Afrika</t>
  </si>
  <si>
    <t>Yuhan Ménard-Tetreault</t>
  </si>
  <si>
    <t>Lulie Ménard-Tétrault</t>
  </si>
  <si>
    <t xml:space="preserve"> </t>
  </si>
  <si>
    <t xml:space="preserve">C </t>
  </si>
  <si>
    <t>R</t>
  </si>
  <si>
    <t>C</t>
  </si>
  <si>
    <t>Good Time Charlie</t>
  </si>
  <si>
    <t>Jelly Bean</t>
  </si>
  <si>
    <t>EL</t>
  </si>
  <si>
    <t>No Show</t>
  </si>
  <si>
    <t>Eureka 18 juin 2016</t>
  </si>
  <si>
    <t>Tisseur, Clara</t>
  </si>
  <si>
    <t>Turcotte, Marie-Pierre</t>
  </si>
  <si>
    <t>Alie, Alexandra</t>
  </si>
  <si>
    <t>Demontem</t>
  </si>
  <si>
    <t>Billy</t>
  </si>
  <si>
    <t>Fortin, Alexandre</t>
  </si>
  <si>
    <t>Beaulieu's Scontessa</t>
  </si>
  <si>
    <t>Beaulieu's Classi Touch</t>
  </si>
  <si>
    <t>Rêve de Glatiny</t>
  </si>
  <si>
    <t>Hébert, Ariane</t>
  </si>
  <si>
    <t>Rio's Classic Mark</t>
  </si>
  <si>
    <t>Venne, Alexandra</t>
  </si>
  <si>
    <t>Ynadja</t>
  </si>
  <si>
    <t># points</t>
  </si>
  <si>
    <t>Lac Brome 10 juillet 2016</t>
  </si>
  <si>
    <t>Lebel, Simone</t>
  </si>
  <si>
    <t>Honey</t>
  </si>
  <si>
    <t>Gagnon, Amalie</t>
  </si>
  <si>
    <t>Hector</t>
  </si>
  <si>
    <t>Blanchard, Geneviève</t>
  </si>
  <si>
    <t>Shanel</t>
  </si>
  <si>
    <t>Côté, Madison</t>
  </si>
  <si>
    <t>Bergeron, Marie-Lou</t>
  </si>
  <si>
    <t>Scarlette D</t>
  </si>
  <si>
    <t>Chanel</t>
  </si>
  <si>
    <t>E</t>
  </si>
  <si>
    <t>Le Fustec, Thomas</t>
  </si>
  <si>
    <t>Fluffy</t>
  </si>
  <si>
    <t>Ricard, Clara</t>
  </si>
  <si>
    <t>La Perle Noire</t>
  </si>
  <si>
    <t>Auger, Michel</t>
  </si>
  <si>
    <t>Easy Express</t>
  </si>
  <si>
    <t>Peel</t>
  </si>
  <si>
    <t>Dubois, Valérie</t>
  </si>
  <si>
    <t>Rhéa</t>
  </si>
  <si>
    <t>Houle, Daphné</t>
  </si>
  <si>
    <t>Viktoria</t>
  </si>
  <si>
    <t>Bailey's</t>
  </si>
  <si>
    <t>DesDiligences 7 août 2016</t>
  </si>
  <si>
    <t>Wall-E</t>
  </si>
  <si>
    <t>Beaulieu-Brochu, Alexandrine</t>
  </si>
  <si>
    <t>Surprise</t>
  </si>
  <si>
    <t>Turgeon-Leblanc, Chloé</t>
  </si>
  <si>
    <t>Buck Sugar</t>
  </si>
  <si>
    <t>Bilodeau, Marie-Josée</t>
  </si>
  <si>
    <t>Haitian Gold</t>
  </si>
  <si>
    <t>Leduc, Marco</t>
  </si>
  <si>
    <t>Kazpur</t>
  </si>
  <si>
    <t>Joly, Claude</t>
  </si>
  <si>
    <t>Boléro de Ravel</t>
  </si>
  <si>
    <t>Cielia Farie Sjongedyk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</si>
</sst>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$&quot;"/>
  </numFmts>
  <fonts count="30" x14ac:knownFonts="1">
    <font>
      <sz val="10"/>
      <name val="Arial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b/>
      <sz val="16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0"/>
      <color indexed="12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</font>
    <font>
      <sz val="10"/>
      <color rgb="FFFF0000"/>
      <name val="Calibri"/>
    </font>
    <font>
      <b/>
      <sz val="12"/>
      <color rgb="FFFF0000"/>
      <name val="Calibri"/>
    </font>
    <font>
      <b/>
      <sz val="12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27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auto="1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auto="1"/>
      </bottom>
      <diagonal/>
    </border>
    <border>
      <left/>
      <right style="dotted">
        <color indexed="8"/>
      </right>
      <top style="dotted">
        <color indexed="8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7">
    <xf numFmtId="0" fontId="0" fillId="0" borderId="0"/>
    <xf numFmtId="0" fontId="8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4">
    <xf numFmtId="0" fontId="0" fillId="0" borderId="0" xfId="0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center" vertical="center" wrapText="1"/>
      <protection locked="0"/>
    </xf>
    <xf numFmtId="0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applyNumberFormat="1" applyFont="1" applyBorder="1" applyAlignment="1" applyProtection="1">
      <alignment horizontal="center" vertical="center" wrapText="1"/>
      <protection locked="0"/>
    </xf>
    <xf numFmtId="0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" applyNumberFormat="1" applyFont="1" applyBorder="1" applyAlignment="1" applyProtection="1">
      <alignment horizontal="center" vertical="center" wrapText="1"/>
      <protection locked="0"/>
    </xf>
    <xf numFmtId="0" fontId="13" fillId="0" borderId="3" xfId="2" applyNumberFormat="1" applyFont="1" applyBorder="1" applyAlignment="1" applyProtection="1">
      <alignment horizontal="center" vertical="center" wrapText="1"/>
      <protection locked="0"/>
    </xf>
    <xf numFmtId="0" fontId="11" fillId="0" borderId="4" xfId="2" applyNumberFormat="1" applyFont="1" applyBorder="1" applyAlignment="1" applyProtection="1">
      <alignment horizontal="center" vertical="center" wrapText="1"/>
      <protection locked="0"/>
    </xf>
    <xf numFmtId="0" fontId="3" fillId="0" borderId="4" xfId="2" applyNumberFormat="1" applyFont="1" applyBorder="1" applyAlignment="1" applyProtection="1">
      <alignment horizontal="center" vertical="center" wrapText="1"/>
      <protection locked="0"/>
    </xf>
    <xf numFmtId="0" fontId="3" fillId="0" borderId="5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11" fillId="0" borderId="7" xfId="2" applyNumberFormat="1" applyFont="1" applyBorder="1" applyAlignment="1" applyProtection="1">
      <alignment horizontal="center" vertical="center" wrapText="1"/>
      <protection locked="0"/>
    </xf>
    <xf numFmtId="0" fontId="11" fillId="0" borderId="10" xfId="2" applyNumberFormat="1" applyFont="1" applyBorder="1" applyAlignment="1" applyProtection="1">
      <alignment horizontal="center" vertical="center" wrapText="1"/>
      <protection locked="0"/>
    </xf>
    <xf numFmtId="0" fontId="3" fillId="0" borderId="10" xfId="2" applyNumberFormat="1" applyFont="1" applyBorder="1" applyAlignment="1" applyProtection="1">
      <alignment horizontal="center" vertical="center" wrapText="1"/>
      <protection locked="0"/>
    </xf>
    <xf numFmtId="0" fontId="3" fillId="0" borderId="11" xfId="2" applyNumberFormat="1" applyFont="1" applyBorder="1" applyAlignment="1" applyProtection="1">
      <alignment horizontal="center" vertical="center" wrapText="1"/>
      <protection locked="0"/>
    </xf>
    <xf numFmtId="0" fontId="3" fillId="0" borderId="7" xfId="2" applyNumberFormat="1" applyFont="1" applyBorder="1" applyAlignment="1" applyProtection="1">
      <alignment horizontal="center" vertical="center" wrapText="1"/>
      <protection locked="0"/>
    </xf>
    <xf numFmtId="0" fontId="3" fillId="0" borderId="8" xfId="2" applyNumberFormat="1" applyFont="1" applyBorder="1" applyAlignment="1" applyProtection="1">
      <alignment horizontal="center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vertical="top" wrapText="1"/>
      <protection locked="0"/>
    </xf>
    <xf numFmtId="0" fontId="7" fillId="4" borderId="13" xfId="2" applyNumberFormat="1" applyFont="1" applyFill="1" applyBorder="1" applyAlignment="1" applyProtection="1">
      <alignment horizontal="left" vertical="top" wrapText="1"/>
      <protection locked="0"/>
    </xf>
    <xf numFmtId="0" fontId="7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2" applyNumberFormat="1" applyFont="1" applyBorder="1" applyAlignment="1" applyProtection="1">
      <alignment horizontal="center" vertical="center" wrapText="1"/>
      <protection locked="0"/>
    </xf>
    <xf numFmtId="164" fontId="9" fillId="2" borderId="1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2" applyNumberFormat="1" applyFont="1" applyBorder="1" applyAlignment="1" applyProtection="1">
      <alignment horizontal="center" vertical="center" wrapText="1"/>
      <protection locked="0"/>
    </xf>
    <xf numFmtId="0" fontId="7" fillId="4" borderId="17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2" applyNumberFormat="1" applyFont="1" applyBorder="1" applyAlignment="1" applyProtection="1">
      <alignment horizontal="left" vertical="center" wrapText="1"/>
      <protection locked="0"/>
    </xf>
    <xf numFmtId="0" fontId="4" fillId="0" borderId="17" xfId="2" applyNumberFormat="1" applyFont="1" applyBorder="1" applyAlignment="1" applyProtection="1">
      <alignment horizontal="left" vertical="center" wrapText="1"/>
      <protection locked="0"/>
    </xf>
    <xf numFmtId="0" fontId="3" fillId="0" borderId="18" xfId="2" applyNumberFormat="1" applyFont="1" applyBorder="1" applyAlignment="1" applyProtection="1">
      <alignment horizontal="left" vertical="center" wrapText="1"/>
      <protection locked="0"/>
    </xf>
    <xf numFmtId="0" fontId="3" fillId="0" borderId="17" xfId="2" applyNumberFormat="1" applyFont="1" applyBorder="1" applyAlignment="1" applyProtection="1">
      <alignment horizontal="left" vertical="center" wrapText="1"/>
      <protection locked="0"/>
    </xf>
    <xf numFmtId="0" fontId="3" fillId="0" borderId="19" xfId="2" applyNumberFormat="1" applyFont="1" applyBorder="1" applyAlignment="1" applyProtection="1">
      <alignment horizontal="left" vertical="center" wrapText="1"/>
      <protection locked="0"/>
    </xf>
    <xf numFmtId="0" fontId="7" fillId="4" borderId="20" xfId="2" applyNumberFormat="1" applyFont="1" applyFill="1" applyBorder="1" applyAlignment="1" applyProtection="1">
      <alignment horizontal="left" vertical="center" wrapText="1"/>
      <protection locked="0"/>
    </xf>
    <xf numFmtId="0" fontId="4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2" applyNumberFormat="1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>
      <alignment horizontal="center"/>
    </xf>
    <xf numFmtId="0" fontId="4" fillId="0" borderId="18" xfId="2" applyNumberFormat="1" applyFont="1" applyBorder="1" applyAlignment="1" applyProtection="1">
      <alignment horizontal="center" vertical="center" wrapText="1"/>
      <protection locked="0"/>
    </xf>
    <xf numFmtId="0" fontId="14" fillId="0" borderId="24" xfId="2" applyNumberFormat="1" applyFont="1" applyBorder="1" applyAlignment="1" applyProtection="1">
      <alignment horizontal="center" vertical="center" wrapText="1"/>
      <protection locked="0"/>
    </xf>
    <xf numFmtId="0" fontId="4" fillId="0" borderId="21" xfId="2" applyFont="1" applyBorder="1" applyAlignment="1">
      <alignment horizontal="center"/>
    </xf>
    <xf numFmtId="0" fontId="4" fillId="0" borderId="22" xfId="2" applyNumberFormat="1" applyFont="1" applyBorder="1" applyAlignment="1" applyProtection="1">
      <alignment horizontal="center" vertical="center" wrapText="1"/>
      <protection locked="0"/>
    </xf>
    <xf numFmtId="0" fontId="14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15" fillId="4" borderId="27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28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29" xfId="2" applyNumberFormat="1" applyFont="1" applyFill="1" applyBorder="1" applyAlignment="1" applyProtection="1">
      <alignment horizontal="center" vertical="center" textRotation="180" wrapText="1"/>
      <protection locked="0"/>
    </xf>
    <xf numFmtId="0" fontId="15" fillId="4" borderId="30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32" xfId="2" applyNumberFormat="1" applyFont="1" applyFill="1" applyBorder="1" applyAlignment="1" applyProtection="1">
      <alignment horizontal="center" vertical="center" textRotation="180" wrapText="1"/>
      <protection locked="0"/>
    </xf>
    <xf numFmtId="0" fontId="13" fillId="6" borderId="34" xfId="2" applyNumberFormat="1" applyFont="1" applyFill="1" applyBorder="1" applyAlignment="1" applyProtection="1">
      <alignment horizontal="center" vertical="center" wrapText="1"/>
      <protection locked="0"/>
    </xf>
    <xf numFmtId="0" fontId="13" fillId="6" borderId="33" xfId="2" applyNumberFormat="1" applyFont="1" applyFill="1" applyBorder="1" applyAlignment="1" applyProtection="1">
      <alignment horizontal="center" vertical="center" wrapText="1"/>
      <protection locked="0"/>
    </xf>
    <xf numFmtId="14" fontId="15" fillId="7" borderId="31" xfId="2" applyNumberFormat="1" applyFont="1" applyFill="1" applyBorder="1" applyAlignment="1" applyProtection="1">
      <alignment vertical="center" wrapText="1"/>
      <protection locked="0"/>
    </xf>
    <xf numFmtId="0" fontId="15" fillId="4" borderId="37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38" xfId="2" applyNumberFormat="1" applyFont="1" applyFill="1" applyBorder="1" applyAlignment="1" applyProtection="1">
      <alignment horizontal="center" vertical="center" textRotation="180" wrapText="1"/>
      <protection locked="0"/>
    </xf>
    <xf numFmtId="0" fontId="4" fillId="0" borderId="0" xfId="2" applyNumberFormat="1" applyFont="1" applyBorder="1" applyAlignment="1" applyProtection="1">
      <alignment horizontal="center" vertical="center" wrapText="1"/>
      <protection locked="0"/>
    </xf>
    <xf numFmtId="0" fontId="4" fillId="0" borderId="13" xfId="2" applyNumberFormat="1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/>
    <xf numFmtId="0" fontId="5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3" fillId="0" borderId="35" xfId="2" applyNumberFormat="1" applyFont="1" applyBorder="1" applyAlignment="1" applyProtection="1">
      <alignment horizontal="left" vertical="center" wrapText="1"/>
      <protection locked="0"/>
    </xf>
    <xf numFmtId="0" fontId="3" fillId="2" borderId="3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2" applyNumberFormat="1" applyFont="1" applyBorder="1" applyAlignment="1" applyProtection="1">
      <alignment horizontal="center" vertical="center" wrapText="1"/>
      <protection locked="0"/>
    </xf>
    <xf numFmtId="0" fontId="4" fillId="0" borderId="53" xfId="2" applyNumberFormat="1" applyFont="1" applyBorder="1" applyAlignment="1" applyProtection="1">
      <alignment horizontal="center" vertical="center" wrapText="1"/>
      <protection locked="0"/>
    </xf>
    <xf numFmtId="0" fontId="4" fillId="0" borderId="54" xfId="2" applyNumberFormat="1" applyFont="1" applyBorder="1" applyAlignment="1" applyProtection="1">
      <alignment horizontal="center" vertical="center" wrapText="1"/>
      <protection locked="0"/>
    </xf>
    <xf numFmtId="0" fontId="14" fillId="0" borderId="55" xfId="2" applyNumberFormat="1" applyFont="1" applyBorder="1" applyAlignment="1" applyProtection="1">
      <alignment horizontal="center" vertical="center" wrapText="1"/>
      <protection locked="0"/>
    </xf>
    <xf numFmtId="0" fontId="4" fillId="0" borderId="43" xfId="2" applyNumberFormat="1" applyFont="1" applyBorder="1" applyAlignment="1" applyProtection="1">
      <alignment horizontal="center" vertical="center" wrapText="1"/>
      <protection locked="0"/>
    </xf>
    <xf numFmtId="0" fontId="4" fillId="0" borderId="54" xfId="2" applyFont="1" applyBorder="1" applyAlignment="1">
      <alignment horizontal="center"/>
    </xf>
    <xf numFmtId="0" fontId="13" fillId="6" borderId="56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2" applyNumberFormat="1" applyFont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3" fillId="7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0" xfId="2" applyNumberFormat="1" applyFont="1" applyBorder="1" applyAlignment="1" applyProtection="1">
      <alignment horizontal="center" vertical="center" wrapText="1"/>
      <protection locked="0"/>
    </xf>
    <xf numFmtId="0" fontId="4" fillId="0" borderId="74" xfId="2" applyNumberFormat="1" applyFont="1" applyBorder="1" applyAlignment="1" applyProtection="1">
      <alignment horizontal="left" vertical="center" wrapText="1"/>
      <protection locked="0"/>
    </xf>
    <xf numFmtId="0" fontId="14" fillId="0" borderId="70" xfId="2" applyNumberFormat="1" applyFont="1" applyBorder="1" applyAlignment="1" applyProtection="1">
      <alignment horizontal="center" vertical="center" wrapText="1"/>
      <protection locked="0"/>
    </xf>
    <xf numFmtId="0" fontId="4" fillId="2" borderId="7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6" xfId="2" applyFont="1" applyBorder="1" applyAlignment="1">
      <alignment horizontal="center"/>
    </xf>
    <xf numFmtId="0" fontId="4" fillId="0" borderId="76" xfId="2" applyNumberFormat="1" applyFont="1" applyBorder="1" applyAlignment="1" applyProtection="1">
      <alignment horizontal="center" vertical="center" wrapText="1"/>
      <protection locked="0"/>
    </xf>
    <xf numFmtId="0" fontId="14" fillId="0" borderId="76" xfId="2" applyFont="1" applyBorder="1" applyAlignment="1">
      <alignment horizontal="center"/>
    </xf>
    <xf numFmtId="0" fontId="4" fillId="0" borderId="77" xfId="2" applyNumberFormat="1" applyFont="1" applyBorder="1" applyAlignment="1" applyProtection="1">
      <alignment horizontal="left" vertical="center" wrapText="1"/>
      <protection locked="0"/>
    </xf>
    <xf numFmtId="0" fontId="3" fillId="2" borderId="7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9" xfId="2" applyNumberFormat="1" applyFont="1" applyBorder="1" applyAlignment="1" applyProtection="1">
      <alignment horizontal="left" vertical="center" wrapText="1"/>
      <protection locked="0"/>
    </xf>
    <xf numFmtId="0" fontId="4" fillId="2" borderId="8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81" xfId="2" applyNumberFormat="1" applyFont="1" applyBorder="1" applyAlignment="1" applyProtection="1">
      <alignment horizontal="center" vertical="center" wrapText="1"/>
      <protection locked="0"/>
    </xf>
    <xf numFmtId="0" fontId="4" fillId="0" borderId="82" xfId="2" applyNumberFormat="1" applyFont="1" applyBorder="1" applyAlignment="1" applyProtection="1">
      <alignment horizontal="left" vertical="center" wrapText="1"/>
      <protection locked="0"/>
    </xf>
    <xf numFmtId="0" fontId="4" fillId="0" borderId="83" xfId="2" applyNumberFormat="1" applyFont="1" applyBorder="1" applyAlignment="1" applyProtection="1">
      <alignment horizontal="center" vertical="center" wrapText="1"/>
      <protection locked="0"/>
    </xf>
    <xf numFmtId="0" fontId="4" fillId="0" borderId="40" xfId="2" applyNumberFormat="1" applyFont="1" applyBorder="1" applyAlignment="1" applyProtection="1">
      <alignment horizontal="left" vertical="center" wrapText="1"/>
      <protection locked="0"/>
    </xf>
    <xf numFmtId="0" fontId="4" fillId="0" borderId="41" xfId="2" applyNumberFormat="1" applyFont="1" applyBorder="1" applyAlignment="1" applyProtection="1">
      <alignment horizontal="center" vertical="center" wrapText="1"/>
      <protection locked="0"/>
    </xf>
    <xf numFmtId="0" fontId="4" fillId="0" borderId="84" xfId="2" applyNumberFormat="1" applyFont="1" applyBorder="1" applyAlignment="1" applyProtection="1">
      <alignment horizontal="center" vertical="center" wrapText="1"/>
      <protection locked="0"/>
    </xf>
    <xf numFmtId="0" fontId="3" fillId="0" borderId="78" xfId="2" applyNumberFormat="1" applyFont="1" applyBorder="1" applyAlignment="1" applyProtection="1">
      <alignment horizontal="center" vertical="center" wrapText="1"/>
      <protection locked="0"/>
    </xf>
    <xf numFmtId="0" fontId="4" fillId="0" borderId="13" xfId="2" applyFont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4" fillId="0" borderId="39" xfId="2" applyNumberFormat="1" applyFont="1" applyBorder="1" applyAlignment="1" applyProtection="1">
      <alignment horizontal="center" vertical="center" wrapText="1"/>
      <protection locked="0"/>
    </xf>
    <xf numFmtId="0" fontId="4" fillId="0" borderId="72" xfId="2" applyNumberFormat="1" applyFont="1" applyBorder="1" applyAlignment="1" applyProtection="1">
      <alignment horizontal="center" vertical="center" wrapText="1"/>
      <protection locked="0"/>
    </xf>
    <xf numFmtId="0" fontId="14" fillId="0" borderId="73" xfId="2" applyNumberFormat="1" applyFont="1" applyBorder="1" applyAlignment="1" applyProtection="1">
      <alignment horizontal="center" vertical="center" wrapText="1"/>
      <protection locked="0"/>
    </xf>
    <xf numFmtId="0" fontId="14" fillId="0" borderId="66" xfId="2" applyFont="1" applyBorder="1" applyAlignment="1">
      <alignment horizontal="center"/>
    </xf>
    <xf numFmtId="0" fontId="4" fillId="0" borderId="68" xfId="2" applyFont="1" applyBorder="1" applyAlignment="1">
      <alignment horizontal="center"/>
    </xf>
    <xf numFmtId="0" fontId="14" fillId="0" borderId="69" xfId="2" applyFont="1" applyBorder="1" applyAlignment="1">
      <alignment horizontal="center"/>
    </xf>
    <xf numFmtId="0" fontId="3" fillId="2" borderId="8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2" applyNumberFormat="1" applyFont="1" applyBorder="1" applyAlignment="1" applyProtection="1">
      <alignment horizontal="center" vertical="center" wrapText="1"/>
      <protection locked="0"/>
    </xf>
    <xf numFmtId="0" fontId="4" fillId="0" borderId="87" xfId="2" applyNumberFormat="1" applyFont="1" applyBorder="1" applyAlignment="1" applyProtection="1">
      <alignment horizontal="center" vertical="center" wrapText="1"/>
      <protection locked="0"/>
    </xf>
    <xf numFmtId="0" fontId="4" fillId="0" borderId="23" xfId="2" applyFont="1" applyBorder="1" applyAlignment="1">
      <alignment horizontal="center"/>
    </xf>
    <xf numFmtId="0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52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88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89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9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9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92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9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/>
    <xf numFmtId="0" fontId="22" fillId="0" borderId="0" xfId="2" applyNumberFormat="1" applyFont="1" applyBorder="1" applyAlignment="1" applyProtection="1">
      <alignment horizontal="center" vertical="center" wrapText="1"/>
      <protection locked="0"/>
    </xf>
    <xf numFmtId="0" fontId="21" fillId="0" borderId="0" xfId="2" applyFont="1" applyFill="1" applyBorder="1" applyAlignment="1">
      <alignment horizontal="center"/>
    </xf>
    <xf numFmtId="0" fontId="3" fillId="8" borderId="18" xfId="2" applyNumberFormat="1" applyFont="1" applyFill="1" applyBorder="1" applyAlignment="1" applyProtection="1">
      <alignment horizontal="left" vertical="center" wrapText="1"/>
      <protection locked="0"/>
    </xf>
    <xf numFmtId="0" fontId="3" fillId="8" borderId="17" xfId="2" applyNumberFormat="1" applyFont="1" applyFill="1" applyBorder="1" applyAlignment="1" applyProtection="1">
      <alignment horizontal="left" vertical="center" wrapText="1"/>
      <protection locked="0"/>
    </xf>
    <xf numFmtId="0" fontId="4" fillId="8" borderId="17" xfId="2" applyNumberFormat="1" applyFont="1" applyFill="1" applyBorder="1" applyAlignment="1" applyProtection="1">
      <alignment horizontal="left" vertical="center" wrapText="1"/>
      <protection locked="0"/>
    </xf>
    <xf numFmtId="0" fontId="18" fillId="8" borderId="18" xfId="2" applyNumberFormat="1" applyFont="1" applyFill="1" applyBorder="1" applyAlignment="1" applyProtection="1">
      <alignment horizontal="left" vertical="center" wrapText="1"/>
      <protection locked="0"/>
    </xf>
    <xf numFmtId="0" fontId="3" fillId="8" borderId="85" xfId="2" applyNumberFormat="1" applyFont="1" applyFill="1" applyBorder="1" applyAlignment="1" applyProtection="1">
      <alignment horizontal="left" vertical="center" wrapText="1"/>
      <protection locked="0"/>
    </xf>
    <xf numFmtId="0" fontId="13" fillId="7" borderId="5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95" xfId="2" applyNumberFormat="1" applyFont="1" applyBorder="1" applyAlignment="1" applyProtection="1">
      <alignment horizontal="center" vertical="center" wrapText="1"/>
      <protection locked="0"/>
    </xf>
    <xf numFmtId="0" fontId="4" fillId="0" borderId="98" xfId="2" applyNumberFormat="1" applyFont="1" applyBorder="1" applyAlignment="1" applyProtection="1">
      <alignment horizontal="center" vertical="center" wrapText="1"/>
      <protection locked="0"/>
    </xf>
    <xf numFmtId="0" fontId="4" fillId="0" borderId="99" xfId="2" applyNumberFormat="1" applyFont="1" applyBorder="1" applyAlignment="1" applyProtection="1">
      <alignment horizontal="center" vertical="center" wrapText="1"/>
      <protection locked="0"/>
    </xf>
    <xf numFmtId="0" fontId="4" fillId="0" borderId="65" xfId="2" applyNumberFormat="1" applyFont="1" applyBorder="1" applyAlignment="1" applyProtection="1">
      <alignment horizontal="center" vertical="center" wrapText="1"/>
      <protection locked="0"/>
    </xf>
    <xf numFmtId="0" fontId="14" fillId="0" borderId="66" xfId="2" applyNumberFormat="1" applyFont="1" applyBorder="1" applyAlignment="1" applyProtection="1">
      <alignment horizontal="center" vertical="center" wrapText="1"/>
      <protection locked="0"/>
    </xf>
    <xf numFmtId="0" fontId="4" fillId="0" borderId="67" xfId="2" applyNumberFormat="1" applyFont="1" applyBorder="1" applyAlignment="1" applyProtection="1">
      <alignment horizontal="center" vertical="center" wrapText="1"/>
      <protection locked="0"/>
    </xf>
    <xf numFmtId="0" fontId="4" fillId="0" borderId="68" xfId="2" applyNumberFormat="1" applyFont="1" applyBorder="1" applyAlignment="1" applyProtection="1">
      <alignment horizontal="center" vertical="center" wrapText="1"/>
      <protection locked="0"/>
    </xf>
    <xf numFmtId="0" fontId="4" fillId="0" borderId="100" xfId="2" applyNumberFormat="1" applyFont="1" applyBorder="1" applyAlignment="1" applyProtection="1">
      <alignment horizontal="center" vertical="center" wrapText="1"/>
      <protection locked="0"/>
    </xf>
    <xf numFmtId="0" fontId="4" fillId="0" borderId="101" xfId="2" applyNumberFormat="1" applyFont="1" applyBorder="1" applyAlignment="1" applyProtection="1">
      <alignment horizontal="center" vertical="center" wrapText="1"/>
      <protection locked="0"/>
    </xf>
    <xf numFmtId="0" fontId="4" fillId="0" borderId="102" xfId="2" applyNumberFormat="1" applyFont="1" applyBorder="1" applyAlignment="1" applyProtection="1">
      <alignment horizontal="center" vertical="center" wrapText="1"/>
      <protection locked="0"/>
    </xf>
    <xf numFmtId="0" fontId="4" fillId="0" borderId="103" xfId="2" applyNumberFormat="1" applyFont="1" applyBorder="1" applyAlignment="1" applyProtection="1">
      <alignment horizontal="center" vertical="center" wrapText="1"/>
      <protection locked="0"/>
    </xf>
    <xf numFmtId="0" fontId="14" fillId="0" borderId="104" xfId="2" applyNumberFormat="1" applyFont="1" applyBorder="1" applyAlignment="1" applyProtection="1">
      <alignment horizontal="center" vertical="center" wrapText="1"/>
      <protection locked="0"/>
    </xf>
    <xf numFmtId="0" fontId="14" fillId="0" borderId="105" xfId="2" applyNumberFormat="1" applyFont="1" applyBorder="1" applyAlignment="1" applyProtection="1">
      <alignment horizontal="center" vertical="center" wrapText="1"/>
      <protection locked="0"/>
    </xf>
    <xf numFmtId="0" fontId="14" fillId="0" borderId="106" xfId="2" applyNumberFormat="1" applyFont="1" applyBorder="1" applyAlignment="1" applyProtection="1">
      <alignment horizontal="center" vertical="center" wrapText="1"/>
      <protection locked="0"/>
    </xf>
    <xf numFmtId="0" fontId="14" fillId="0" borderId="107" xfId="2" applyNumberFormat="1" applyFont="1" applyBorder="1" applyAlignment="1" applyProtection="1">
      <alignment horizontal="center" vertical="center" wrapText="1"/>
      <protection locked="0"/>
    </xf>
    <xf numFmtId="0" fontId="4" fillId="0" borderId="108" xfId="2" applyNumberFormat="1" applyFont="1" applyBorder="1" applyAlignment="1" applyProtection="1">
      <alignment horizontal="center" vertical="center" wrapText="1"/>
      <protection locked="0"/>
    </xf>
    <xf numFmtId="0" fontId="4" fillId="0" borderId="109" xfId="2" applyNumberFormat="1" applyFont="1" applyBorder="1" applyAlignment="1" applyProtection="1">
      <alignment horizontal="center" vertical="center" wrapText="1"/>
      <protection locked="0"/>
    </xf>
    <xf numFmtId="0" fontId="4" fillId="0" borderId="86" xfId="2" applyNumberFormat="1" applyFont="1" applyBorder="1" applyAlignment="1" applyProtection="1">
      <alignment horizontal="center" vertical="center" wrapText="1"/>
      <protection locked="0"/>
    </xf>
    <xf numFmtId="0" fontId="4" fillId="0" borderId="94" xfId="2" applyNumberFormat="1" applyFont="1" applyBorder="1" applyAlignment="1" applyProtection="1">
      <alignment horizontal="center" vertical="center" wrapText="1"/>
      <protection locked="0"/>
    </xf>
    <xf numFmtId="0" fontId="4" fillId="0" borderId="44" xfId="2" applyFont="1" applyBorder="1" applyAlignment="1">
      <alignment horizontal="center"/>
    </xf>
    <xf numFmtId="0" fontId="4" fillId="0" borderId="97" xfId="2" applyFont="1" applyBorder="1" applyAlignment="1">
      <alignment horizontal="center"/>
    </xf>
    <xf numFmtId="0" fontId="4" fillId="0" borderId="110" xfId="2" applyFont="1" applyBorder="1" applyAlignment="1">
      <alignment horizontal="center"/>
    </xf>
    <xf numFmtId="0" fontId="4" fillId="0" borderId="111" xfId="2" applyFont="1" applyBorder="1" applyAlignment="1">
      <alignment horizontal="center"/>
    </xf>
    <xf numFmtId="0" fontId="13" fillId="6" borderId="11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13" xfId="2" applyFont="1" applyBorder="1" applyAlignment="1">
      <alignment horizontal="center"/>
    </xf>
    <xf numFmtId="0" fontId="13" fillId="6" borderId="1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15" xfId="2" applyFont="1" applyBorder="1" applyAlignment="1">
      <alignment horizontal="center"/>
    </xf>
    <xf numFmtId="0" fontId="4" fillId="0" borderId="116" xfId="2" applyFont="1" applyBorder="1" applyAlignment="1">
      <alignment horizontal="center"/>
    </xf>
    <xf numFmtId="0" fontId="13" fillId="6" borderId="11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2" applyNumberFormat="1" applyFont="1" applyBorder="1" applyAlignment="1" applyProtection="1">
      <alignment horizontal="center" vertical="center" wrapText="1"/>
      <protection locked="0"/>
    </xf>
    <xf numFmtId="0" fontId="4" fillId="0" borderId="65" xfId="2" applyFont="1" applyBorder="1" applyAlignment="1">
      <alignment horizontal="center"/>
    </xf>
    <xf numFmtId="0" fontId="4" fillId="0" borderId="67" xfId="2" applyFont="1" applyBorder="1" applyAlignment="1">
      <alignment horizontal="center"/>
    </xf>
    <xf numFmtId="0" fontId="4" fillId="0" borderId="72" xfId="2" applyFont="1" applyBorder="1" applyAlignment="1">
      <alignment horizontal="center"/>
    </xf>
    <xf numFmtId="0" fontId="4" fillId="0" borderId="118" xfId="2" applyNumberFormat="1" applyFont="1" applyBorder="1" applyAlignment="1" applyProtection="1">
      <alignment horizontal="center" vertical="center" wrapText="1"/>
      <protection locked="0"/>
    </xf>
    <xf numFmtId="0" fontId="4" fillId="0" borderId="119" xfId="2" applyFont="1" applyBorder="1" applyAlignment="1">
      <alignment horizontal="center"/>
    </xf>
    <xf numFmtId="0" fontId="0" fillId="0" borderId="0" xfId="0" applyBorder="1"/>
    <xf numFmtId="0" fontId="17" fillId="4" borderId="52" xfId="2" applyNumberFormat="1" applyFont="1" applyFill="1" applyBorder="1" applyAlignment="1" applyProtection="1">
      <alignment horizontal="center" vertical="center" textRotation="180" wrapText="1"/>
      <protection locked="0"/>
    </xf>
    <xf numFmtId="0" fontId="13" fillId="6" borderId="12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/>
    <xf numFmtId="0" fontId="0" fillId="0" borderId="69" xfId="0" applyBorder="1"/>
    <xf numFmtId="0" fontId="0" fillId="0" borderId="68" xfId="0" applyBorder="1"/>
    <xf numFmtId="0" fontId="13" fillId="6" borderId="123" xfId="2" applyNumberFormat="1" applyFont="1" applyFill="1" applyBorder="1" applyAlignment="1" applyProtection="1">
      <alignment horizontal="center" vertical="center" wrapText="1"/>
      <protection locked="0"/>
    </xf>
    <xf numFmtId="0" fontId="13" fillId="6" borderId="12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31" xfId="2" applyNumberFormat="1" applyFont="1" applyFill="1" applyBorder="1" applyAlignment="1" applyProtection="1">
      <alignment horizontal="center" vertical="center" textRotation="180" wrapText="1"/>
      <protection locked="0"/>
    </xf>
    <xf numFmtId="14" fontId="15" fillId="6" borderId="96" xfId="2" applyNumberFormat="1" applyFont="1" applyFill="1" applyBorder="1" applyAlignment="1" applyProtection="1">
      <alignment vertical="center" wrapText="1"/>
      <protection locked="0"/>
    </xf>
    <xf numFmtId="0" fontId="13" fillId="4" borderId="124" xfId="2" applyNumberFormat="1" applyFont="1" applyFill="1" applyBorder="1" applyAlignment="1" applyProtection="1">
      <alignment horizontal="center" vertical="center" textRotation="180" wrapText="1"/>
      <protection locked="0"/>
    </xf>
    <xf numFmtId="0" fontId="13" fillId="4" borderId="125" xfId="2" applyNumberFormat="1" applyFont="1" applyFill="1" applyBorder="1" applyAlignment="1" applyProtection="1">
      <alignment horizontal="center" vertical="center" textRotation="180" wrapText="1"/>
      <protection locked="0"/>
    </xf>
    <xf numFmtId="0" fontId="4" fillId="2" borderId="7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8" xfId="2" applyNumberFormat="1" applyFont="1" applyBorder="1" applyAlignment="1" applyProtection="1">
      <alignment horizontal="center" vertical="center" wrapText="1"/>
      <protection locked="0"/>
    </xf>
    <xf numFmtId="0" fontId="4" fillId="0" borderId="77" xfId="2" applyFont="1" applyBorder="1"/>
    <xf numFmtId="0" fontId="4" fillId="2" borderId="76" xfId="2" applyFont="1" applyFill="1" applyBorder="1" applyAlignment="1">
      <alignment horizontal="center"/>
    </xf>
    <xf numFmtId="0" fontId="4" fillId="2" borderId="92" xfId="2" applyFont="1" applyFill="1" applyBorder="1" applyAlignment="1">
      <alignment horizontal="center"/>
    </xf>
    <xf numFmtId="0" fontId="4" fillId="0" borderId="78" xfId="2" applyFont="1" applyBorder="1" applyAlignment="1">
      <alignment horizontal="center"/>
    </xf>
    <xf numFmtId="0" fontId="15" fillId="0" borderId="54" xfId="2" applyNumberFormat="1" applyFont="1" applyBorder="1" applyAlignment="1" applyProtection="1">
      <alignment horizontal="center" vertical="center" wrapText="1"/>
      <protection locked="0"/>
    </xf>
    <xf numFmtId="0" fontId="15" fillId="8" borderId="17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54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18" xfId="2" applyNumberFormat="1" applyFont="1" applyFill="1" applyBorder="1" applyAlignment="1" applyProtection="1">
      <alignment horizontal="left" vertical="center" wrapText="1"/>
      <protection locked="0"/>
    </xf>
    <xf numFmtId="0" fontId="15" fillId="8" borderId="85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86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2" applyNumberFormat="1" applyFont="1" applyBorder="1" applyAlignment="1" applyProtection="1">
      <alignment horizontal="center" vertical="center" wrapText="1"/>
      <protection locked="0"/>
    </xf>
    <xf numFmtId="0" fontId="15" fillId="2" borderId="44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2" applyNumberFormat="1" applyFont="1" applyBorder="1" applyAlignment="1" applyProtection="1">
      <alignment horizontal="left" vertical="center" wrapText="1"/>
      <protection locked="0"/>
    </xf>
    <xf numFmtId="0" fontId="1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2" applyNumberFormat="1" applyFont="1" applyBorder="1" applyAlignment="1" applyProtection="1">
      <alignment horizontal="left" vertical="center" wrapText="1"/>
      <protection locked="0"/>
    </xf>
    <xf numFmtId="0" fontId="23" fillId="8" borderId="18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1" xfId="2" applyNumberFormat="1" applyFont="1" applyBorder="1" applyAlignment="1" applyProtection="1">
      <alignment horizontal="center" vertical="center" wrapText="1"/>
      <protection locked="0"/>
    </xf>
    <xf numFmtId="0" fontId="7" fillId="4" borderId="17" xfId="2" applyNumberFormat="1" applyFont="1" applyFill="1" applyBorder="1" applyAlignment="1" applyProtection="1">
      <alignment horizontal="left" vertical="center" wrapText="1"/>
      <protection locked="0"/>
    </xf>
    <xf numFmtId="0" fontId="25" fillId="0" borderId="7" xfId="2" applyNumberFormat="1" applyFont="1" applyBorder="1" applyAlignment="1" applyProtection="1">
      <alignment horizontal="center" vertical="center" wrapText="1"/>
      <protection locked="0"/>
    </xf>
    <xf numFmtId="0" fontId="25" fillId="0" borderId="4" xfId="2" applyNumberFormat="1" applyFont="1" applyBorder="1" applyAlignment="1" applyProtection="1">
      <alignment horizontal="center" vertical="center" wrapText="1"/>
      <protection locked="0"/>
    </xf>
    <xf numFmtId="0" fontId="25" fillId="0" borderId="10" xfId="2" applyNumberFormat="1" applyFont="1" applyBorder="1" applyAlignment="1" applyProtection="1">
      <alignment horizontal="center" vertical="center" wrapText="1"/>
      <protection locked="0"/>
    </xf>
    <xf numFmtId="0" fontId="24" fillId="0" borderId="0" xfId="2" applyFont="1" applyFill="1" applyBorder="1" applyAlignment="1">
      <alignment horizontal="center"/>
    </xf>
    <xf numFmtId="0" fontId="23" fillId="8" borderId="17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2" applyNumberFormat="1" applyFont="1" applyBorder="1" applyAlignment="1" applyProtection="1">
      <alignment horizontal="center" vertical="center" wrapText="1"/>
      <protection locked="0"/>
    </xf>
    <xf numFmtId="0" fontId="11" fillId="0" borderId="55" xfId="2" applyNumberFormat="1" applyFont="1" applyBorder="1" applyAlignment="1" applyProtection="1">
      <alignment horizontal="center" vertical="center" wrapText="1"/>
      <protection locked="0"/>
    </xf>
    <xf numFmtId="0" fontId="11" fillId="0" borderId="25" xfId="2" applyFont="1" applyBorder="1" applyAlignment="1">
      <alignment horizontal="center"/>
    </xf>
    <xf numFmtId="0" fontId="11" fillId="0" borderId="73" xfId="2" applyNumberFormat="1" applyFont="1" applyBorder="1" applyAlignment="1" applyProtection="1">
      <alignment horizontal="center" vertical="center" wrapText="1"/>
      <protection locked="0"/>
    </xf>
    <xf numFmtId="0" fontId="11" fillId="0" borderId="105" xfId="2" applyNumberFormat="1" applyFont="1" applyBorder="1" applyAlignment="1" applyProtection="1">
      <alignment horizontal="center" vertical="center" wrapText="1"/>
      <protection locked="0"/>
    </xf>
    <xf numFmtId="0" fontId="11" fillId="0" borderId="104" xfId="2" applyNumberFormat="1" applyFont="1" applyBorder="1" applyAlignment="1" applyProtection="1">
      <alignment horizontal="center" vertical="center" wrapText="1"/>
      <protection locked="0"/>
    </xf>
    <xf numFmtId="0" fontId="13" fillId="9" borderId="9" xfId="2" applyNumberFormat="1" applyFont="1" applyFill="1" applyBorder="1" applyAlignment="1" applyProtection="1">
      <alignment horizontal="center" vertical="center" wrapText="1"/>
      <protection locked="0"/>
    </xf>
    <xf numFmtId="0" fontId="13" fillId="9" borderId="6" xfId="2" applyNumberFormat="1" applyFont="1" applyFill="1" applyBorder="1" applyAlignment="1" applyProtection="1">
      <alignment horizontal="center" vertical="center" wrapText="1"/>
      <protection locked="0"/>
    </xf>
    <xf numFmtId="0" fontId="13" fillId="9" borderId="12" xfId="2" applyNumberFormat="1" applyFont="1" applyFill="1" applyBorder="1" applyAlignment="1" applyProtection="1">
      <alignment horizontal="center" vertical="center" wrapText="1"/>
      <protection locked="0"/>
    </xf>
    <xf numFmtId="0" fontId="13" fillId="9" borderId="0" xfId="2" applyFont="1" applyFill="1" applyBorder="1" applyAlignment="1">
      <alignment horizontal="center"/>
    </xf>
    <xf numFmtId="0" fontId="27" fillId="0" borderId="0" xfId="2" applyFont="1" applyFill="1" applyBorder="1"/>
    <xf numFmtId="0" fontId="26" fillId="0" borderId="0" xfId="2" applyFont="1" applyFill="1" applyBorder="1" applyAlignment="1">
      <alignment horizontal="center"/>
    </xf>
    <xf numFmtId="0" fontId="6" fillId="3" borderId="1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6" fillId="3" borderId="16" xfId="2" applyNumberFormat="1" applyFont="1" applyFill="1" applyBorder="1" applyAlignment="1" applyProtection="1">
      <alignment horizontal="center" vertical="center" wrapText="1"/>
      <protection locked="0"/>
    </xf>
    <xf numFmtId="0" fontId="15" fillId="10" borderId="0" xfId="2" applyFont="1" applyFill="1" applyBorder="1" applyAlignment="1">
      <alignment horizontal="center" vertical="center"/>
    </xf>
    <xf numFmtId="0" fontId="15" fillId="10" borderId="0" xfId="2" applyFont="1" applyFill="1" applyBorder="1" applyAlignment="1">
      <alignment horizontal="center"/>
    </xf>
    <xf numFmtId="0" fontId="29" fillId="11" borderId="1" xfId="2" applyNumberFormat="1" applyFont="1" applyFill="1" applyBorder="1" applyAlignment="1" applyProtection="1">
      <alignment horizontal="center" vertical="center" textRotation="180" wrapText="1"/>
      <protection locked="0"/>
    </xf>
    <xf numFmtId="0" fontId="29" fillId="10" borderId="8" xfId="2" applyNumberFormat="1" applyFont="1" applyFill="1" applyBorder="1" applyAlignment="1" applyProtection="1">
      <alignment horizontal="center" vertical="center" wrapText="1"/>
      <protection locked="0"/>
    </xf>
    <xf numFmtId="0" fontId="29" fillId="10" borderId="5" xfId="2" applyNumberFormat="1" applyFont="1" applyFill="1" applyBorder="1" applyAlignment="1" applyProtection="1">
      <alignment horizontal="center" vertical="center" wrapText="1"/>
      <protection locked="0"/>
    </xf>
    <xf numFmtId="0" fontId="29" fillId="10" borderId="7" xfId="2" applyNumberFormat="1" applyFont="1" applyFill="1" applyBorder="1" applyAlignment="1" applyProtection="1">
      <alignment horizontal="center" vertical="center" wrapText="1"/>
      <protection locked="0"/>
    </xf>
    <xf numFmtId="0" fontId="29" fillId="10" borderId="4" xfId="2" applyNumberFormat="1" applyFont="1" applyFill="1" applyBorder="1" applyAlignment="1" applyProtection="1">
      <alignment horizontal="center" vertical="center" wrapText="1"/>
      <protection locked="0"/>
    </xf>
    <xf numFmtId="0" fontId="29" fillId="11" borderId="0" xfId="2" applyNumberFormat="1" applyFont="1" applyFill="1" applyBorder="1" applyAlignment="1" applyProtection="1">
      <alignment horizontal="center" vertical="center" wrapText="1"/>
      <protection locked="0"/>
    </xf>
    <xf numFmtId="0" fontId="29" fillId="11" borderId="0" xfId="2" applyNumberFormat="1" applyFont="1" applyFill="1" applyBorder="1" applyAlignment="1" applyProtection="1">
      <alignment horizontal="center" vertical="center" textRotation="180" wrapText="1"/>
      <protection locked="0"/>
    </xf>
    <xf numFmtId="0" fontId="29" fillId="11" borderId="13" xfId="2" applyNumberFormat="1" applyFont="1" applyFill="1" applyBorder="1" applyAlignment="1" applyProtection="1">
      <alignment horizontal="center" vertical="center" textRotation="180" wrapText="1"/>
      <protection locked="0"/>
    </xf>
    <xf numFmtId="0" fontId="29" fillId="10" borderId="0" xfId="2" applyNumberFormat="1" applyFont="1" applyFill="1" applyBorder="1" applyAlignment="1" applyProtection="1">
      <alignment horizontal="center" vertical="center" wrapText="1"/>
      <protection locked="0"/>
    </xf>
    <xf numFmtId="0" fontId="29" fillId="10" borderId="11" xfId="2" applyNumberFormat="1" applyFont="1" applyFill="1" applyBorder="1" applyAlignment="1" applyProtection="1">
      <alignment horizontal="center" vertical="center" wrapText="1"/>
      <protection locked="0"/>
    </xf>
    <xf numFmtId="0" fontId="29" fillId="10" borderId="47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24" fillId="13" borderId="1" xfId="2" applyNumberFormat="1" applyFont="1" applyFill="1" applyBorder="1" applyAlignment="1" applyProtection="1">
      <alignment horizontal="center" vertical="center" textRotation="180" wrapText="1"/>
      <protection locked="0"/>
    </xf>
    <xf numFmtId="0" fontId="10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13" borderId="1" xfId="2" applyNumberFormat="1" applyFont="1" applyFill="1" applyBorder="1" applyAlignment="1" applyProtection="1">
      <alignment horizontal="center" vertical="center" textRotation="180" wrapText="1"/>
      <protection locked="0"/>
    </xf>
    <xf numFmtId="0" fontId="15" fillId="12" borderId="8" xfId="2" applyNumberFormat="1" applyFont="1" applyFill="1" applyBorder="1" applyAlignment="1" applyProtection="1">
      <alignment horizontal="center" vertical="center" wrapText="1"/>
      <protection locked="0"/>
    </xf>
    <xf numFmtId="0" fontId="28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17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12" borderId="9" xfId="2" applyNumberFormat="1" applyFont="1" applyFill="1" applyBorder="1" applyAlignment="1" applyProtection="1">
      <alignment horizontal="center" vertical="center" wrapText="1"/>
      <protection locked="0"/>
    </xf>
    <xf numFmtId="0" fontId="4" fillId="12" borderId="5" xfId="2" applyNumberFormat="1" applyFont="1" applyFill="1" applyBorder="1" applyAlignment="1" applyProtection="1">
      <alignment horizontal="center" vertical="center" wrapText="1"/>
      <protection locked="0"/>
    </xf>
    <xf numFmtId="0" fontId="24" fillId="12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12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12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8" xfId="2" applyNumberFormat="1" applyFont="1" applyFill="1" applyBorder="1" applyAlignment="1" applyProtection="1">
      <alignment horizontal="center" vertical="center" wrapText="1"/>
      <protection locked="0"/>
    </xf>
    <xf numFmtId="0" fontId="25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9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5" xfId="2" applyNumberFormat="1" applyFont="1" applyFill="1" applyBorder="1" applyAlignment="1" applyProtection="1">
      <alignment horizontal="center" vertical="center" wrapText="1"/>
      <protection locked="0"/>
    </xf>
    <xf numFmtId="0" fontId="25" fillId="12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24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12" borderId="8" xfId="2" applyNumberFormat="1" applyFont="1" applyFill="1" applyBorder="1" applyAlignment="1" applyProtection="1">
      <alignment horizontal="center" vertical="center" wrapText="1"/>
      <protection locked="0"/>
    </xf>
    <xf numFmtId="0" fontId="11" fillId="12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12" borderId="8" xfId="2" applyFont="1" applyFill="1" applyBorder="1" applyAlignment="1">
      <alignment horizontal="center"/>
    </xf>
    <xf numFmtId="0" fontId="24" fillId="12" borderId="7" xfId="2" applyFont="1" applyFill="1" applyBorder="1" applyAlignment="1">
      <alignment horizontal="center"/>
    </xf>
    <xf numFmtId="0" fontId="13" fillId="13" borderId="43" xfId="2" applyNumberFormat="1" applyFont="1" applyFill="1" applyBorder="1" applyAlignment="1" applyProtection="1">
      <alignment horizontal="center" vertical="center" textRotation="180" wrapText="1"/>
      <protection locked="0"/>
    </xf>
    <xf numFmtId="0" fontId="7" fillId="13" borderId="13" xfId="2" applyNumberFormat="1" applyFont="1" applyFill="1" applyBorder="1" applyAlignment="1" applyProtection="1">
      <alignment horizontal="center" vertical="center" wrapText="1"/>
      <protection locked="0"/>
    </xf>
    <xf numFmtId="0" fontId="24" fillId="13" borderId="13" xfId="2" applyNumberFormat="1" applyFont="1" applyFill="1" applyBorder="1" applyAlignment="1" applyProtection="1">
      <alignment horizontal="center" vertical="center" textRotation="180" wrapText="1"/>
      <protection locked="0"/>
    </xf>
    <xf numFmtId="0" fontId="10" fillId="13" borderId="13" xfId="2" applyNumberFormat="1" applyFont="1" applyFill="1" applyBorder="1" applyAlignment="1" applyProtection="1">
      <alignment horizontal="center" vertical="center" wrapText="1"/>
      <protection locked="0"/>
    </xf>
    <xf numFmtId="0" fontId="13" fillId="13" borderId="13" xfId="2" applyNumberFormat="1" applyFont="1" applyFill="1" applyBorder="1" applyAlignment="1" applyProtection="1">
      <alignment horizontal="center" vertical="center" textRotation="180" wrapText="1"/>
      <protection locked="0"/>
    </xf>
    <xf numFmtId="0" fontId="13" fillId="12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11" xfId="2" applyNumberFormat="1" applyFont="1" applyFill="1" applyBorder="1" applyAlignment="1" applyProtection="1">
      <alignment horizontal="center" vertical="center" wrapText="1"/>
      <protection locked="0"/>
    </xf>
    <xf numFmtId="0" fontId="25" fillId="12" borderId="10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10" xfId="2" applyNumberFormat="1" applyFont="1" applyFill="1" applyBorder="1" applyAlignment="1" applyProtection="1">
      <alignment horizontal="center" vertical="center" wrapText="1"/>
      <protection locked="0"/>
    </xf>
    <xf numFmtId="0" fontId="11" fillId="12" borderId="10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12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0" xfId="2" applyNumberFormat="1" applyFont="1" applyFill="1" applyBorder="1" applyAlignment="1" applyProtection="1">
      <alignment horizontal="center" vertical="center" wrapText="1"/>
      <protection locked="0"/>
    </xf>
    <xf numFmtId="0" fontId="25" fillId="12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12" borderId="0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43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47" xfId="2" applyNumberFormat="1" applyFont="1" applyFill="1" applyBorder="1" applyAlignment="1" applyProtection="1">
      <alignment horizontal="center" vertical="center" wrapText="1"/>
      <protection locked="0"/>
    </xf>
    <xf numFmtId="0" fontId="25" fillId="12" borderId="45" xfId="2" applyNumberFormat="1" applyFont="1" applyFill="1" applyBorder="1" applyAlignment="1" applyProtection="1">
      <alignment horizontal="center" vertical="center" wrapText="1"/>
      <protection locked="0"/>
    </xf>
    <xf numFmtId="0" fontId="3" fillId="12" borderId="45" xfId="2" applyNumberFormat="1" applyFont="1" applyFill="1" applyBorder="1" applyAlignment="1" applyProtection="1">
      <alignment horizontal="center" vertical="center" wrapText="1"/>
      <protection locked="0"/>
    </xf>
    <xf numFmtId="0" fontId="11" fillId="12" borderId="45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46" xfId="2" applyNumberFormat="1" applyFont="1" applyFill="1" applyBorder="1" applyAlignment="1" applyProtection="1">
      <alignment horizontal="center" vertical="center" wrapText="1"/>
      <protection locked="0"/>
    </xf>
    <xf numFmtId="0" fontId="13" fillId="12" borderId="0" xfId="2" applyFont="1" applyFill="1" applyBorder="1" applyAlignment="1">
      <alignment horizontal="center"/>
    </xf>
    <xf numFmtId="14" fontId="6" fillId="12" borderId="16" xfId="2" applyNumberFormat="1" applyFont="1" applyFill="1" applyBorder="1" applyAlignment="1" applyProtection="1">
      <alignment horizontal="center" vertical="center" wrapText="1"/>
      <protection locked="0"/>
    </xf>
    <xf numFmtId="0" fontId="6" fillId="12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2" applyNumberFormat="1" applyFont="1" applyFill="1" applyBorder="1" applyAlignment="1" applyProtection="1">
      <alignment horizontal="left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" fillId="4" borderId="20" xfId="2" applyNumberFormat="1" applyFont="1" applyFill="1" applyBorder="1" applyAlignment="1" applyProtection="1">
      <alignment horizontal="left" vertical="center" wrapText="1"/>
      <protection locked="0"/>
    </xf>
    <xf numFmtId="0" fontId="7" fillId="4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4" borderId="126" xfId="2" applyNumberFormat="1" applyFont="1" applyFill="1" applyBorder="1" applyAlignment="1" applyProtection="1">
      <alignment horizontal="left" vertical="center" wrapText="1"/>
      <protection locked="0"/>
    </xf>
    <xf numFmtId="0" fontId="0" fillId="0" borderId="127" xfId="0" applyBorder="1" applyAlignment="1">
      <alignment horizontal="left" wrapText="1"/>
    </xf>
    <xf numFmtId="14" fontId="15" fillId="7" borderId="49" xfId="2" applyNumberFormat="1" applyFont="1" applyFill="1" applyBorder="1" applyAlignment="1" applyProtection="1">
      <alignment horizontal="center" vertical="center" wrapText="1"/>
      <protection locked="0"/>
    </xf>
    <xf numFmtId="14" fontId="15" fillId="7" borderId="50" xfId="2" applyNumberFormat="1" applyFont="1" applyFill="1" applyBorder="1" applyAlignment="1" applyProtection="1">
      <alignment horizontal="center" vertical="center" wrapText="1"/>
      <protection locked="0"/>
    </xf>
    <xf numFmtId="14" fontId="15" fillId="7" borderId="51" xfId="2" applyNumberFormat="1" applyFont="1" applyFill="1" applyBorder="1" applyAlignment="1" applyProtection="1">
      <alignment horizontal="center" vertical="center" wrapText="1"/>
      <protection locked="0"/>
    </xf>
    <xf numFmtId="14" fontId="15" fillId="7" borderId="48" xfId="2" applyNumberFormat="1" applyFont="1" applyFill="1" applyBorder="1" applyAlignment="1" applyProtection="1">
      <alignment horizontal="center" vertical="center" wrapText="1"/>
      <protection locked="0"/>
    </xf>
    <xf numFmtId="14" fontId="15" fillId="7" borderId="0" xfId="2" applyNumberFormat="1" applyFont="1" applyFill="1" applyBorder="1" applyAlignment="1" applyProtection="1">
      <alignment horizontal="center" vertical="center" wrapText="1"/>
      <protection locked="0"/>
    </xf>
    <xf numFmtId="14" fontId="15" fillId="7" borderId="31" xfId="2" applyNumberFormat="1" applyFont="1" applyFill="1" applyBorder="1" applyAlignment="1" applyProtection="1">
      <alignment horizontal="center" vertical="center" wrapText="1"/>
      <protection locked="0"/>
    </xf>
    <xf numFmtId="14" fontId="15" fillId="6" borderId="49" xfId="2" applyNumberFormat="1" applyFont="1" applyFill="1" applyBorder="1" applyAlignment="1" applyProtection="1">
      <alignment horizontal="center" vertical="center" wrapText="1"/>
      <protection locked="0"/>
    </xf>
    <xf numFmtId="14" fontId="15" fillId="6" borderId="50" xfId="2" applyNumberFormat="1" applyFont="1" applyFill="1" applyBorder="1" applyAlignment="1" applyProtection="1">
      <alignment horizontal="center" vertical="center" wrapText="1"/>
      <protection locked="0"/>
    </xf>
    <xf numFmtId="14" fontId="15" fillId="6" borderId="120" xfId="2" applyNumberFormat="1" applyFont="1" applyFill="1" applyBorder="1" applyAlignment="1" applyProtection="1">
      <alignment horizontal="center" vertical="center" wrapText="1"/>
      <protection locked="0"/>
    </xf>
    <xf numFmtId="14" fontId="15" fillId="6" borderId="48" xfId="2" applyNumberFormat="1" applyFont="1" applyFill="1" applyBorder="1" applyAlignment="1" applyProtection="1">
      <alignment horizontal="center" vertical="center" wrapText="1"/>
      <protection locked="0"/>
    </xf>
    <xf numFmtId="14" fontId="15" fillId="6" borderId="0" xfId="2" applyNumberFormat="1" applyFont="1" applyFill="1" applyBorder="1" applyAlignment="1" applyProtection="1">
      <alignment horizontal="center" vertical="center" wrapText="1"/>
      <protection locked="0"/>
    </xf>
    <xf numFmtId="14" fontId="15" fillId="6" borderId="31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15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54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8" xfId="2" applyNumberFormat="1" applyFont="1" applyBorder="1" applyAlignment="1" applyProtection="1">
      <alignment horizontal="center" vertical="center" wrapText="1"/>
      <protection locked="0"/>
    </xf>
    <xf numFmtId="0" fontId="15" fillId="0" borderId="55" xfId="2" applyNumberFormat="1" applyFont="1" applyBorder="1" applyAlignment="1" applyProtection="1">
      <alignment horizontal="center" vertical="center" wrapText="1"/>
      <protection locked="0"/>
    </xf>
    <xf numFmtId="14" fontId="15" fillId="5" borderId="0" xfId="2" applyNumberFormat="1" applyFont="1" applyFill="1" applyBorder="1" applyAlignment="1" applyProtection="1">
      <alignment horizontal="center" vertical="center" wrapText="1"/>
      <protection locked="0"/>
    </xf>
    <xf numFmtId="14" fontId="15" fillId="5" borderId="31" xfId="2" applyNumberFormat="1" applyFont="1" applyFill="1" applyBorder="1" applyAlignment="1" applyProtection="1">
      <alignment horizontal="center" vertical="center" wrapText="1"/>
      <protection locked="0"/>
    </xf>
    <xf numFmtId="14" fontId="15" fillId="5" borderId="49" xfId="2" applyNumberFormat="1" applyFont="1" applyFill="1" applyBorder="1" applyAlignment="1" applyProtection="1">
      <alignment horizontal="center" vertical="center" wrapText="1"/>
      <protection locked="0"/>
    </xf>
    <xf numFmtId="14" fontId="15" fillId="5" borderId="5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7" fillId="0" borderId="49" xfId="2" applyNumberFormat="1" applyFont="1" applyBorder="1" applyAlignment="1" applyProtection="1">
      <alignment horizontal="center" vertical="center" wrapText="1"/>
      <protection locked="0"/>
    </xf>
    <xf numFmtId="0" fontId="7" fillId="0" borderId="50" xfId="2" applyNumberFormat="1" applyFont="1" applyBorder="1" applyAlignment="1" applyProtection="1">
      <alignment horizontal="center" vertical="center" wrapText="1"/>
      <protection locked="0"/>
    </xf>
    <xf numFmtId="0" fontId="7" fillId="0" borderId="60" xfId="2" applyNumberFormat="1" applyFont="1" applyBorder="1" applyAlignment="1" applyProtection="1">
      <alignment horizontal="center" vertical="center" wrapText="1"/>
      <protection locked="0"/>
    </xf>
    <xf numFmtId="0" fontId="7" fillId="0" borderId="61" xfId="2" applyNumberFormat="1" applyFont="1" applyBorder="1" applyAlignment="1" applyProtection="1">
      <alignment horizontal="center" vertical="center" wrapText="1"/>
      <protection locked="0"/>
    </xf>
    <xf numFmtId="0" fontId="15" fillId="0" borderId="52" xfId="2" applyNumberFormat="1" applyFont="1" applyBorder="1" applyAlignment="1" applyProtection="1">
      <alignment horizontal="center" vertical="center" wrapText="1"/>
      <protection locked="0"/>
    </xf>
    <xf numFmtId="0" fontId="15" fillId="0" borderId="42" xfId="2" applyNumberFormat="1" applyFont="1" applyBorder="1" applyAlignment="1" applyProtection="1">
      <alignment horizontal="center" vertical="center" wrapText="1"/>
      <protection locked="0"/>
    </xf>
    <xf numFmtId="0" fontId="6" fillId="4" borderId="62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58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63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64" xfId="2" applyNumberFormat="1" applyFont="1" applyBorder="1" applyAlignment="1" applyProtection="1">
      <alignment horizontal="center" vertical="center" wrapText="1"/>
      <protection locked="0"/>
    </xf>
    <xf numFmtId="0" fontId="15" fillId="0" borderId="59" xfId="2" applyNumberFormat="1" applyFont="1" applyBorder="1" applyAlignment="1" applyProtection="1">
      <alignment horizontal="center" vertical="center" wrapText="1"/>
      <protection locked="0"/>
    </xf>
    <xf numFmtId="0" fontId="7" fillId="0" borderId="30" xfId="2" applyNumberFormat="1" applyFont="1" applyBorder="1" applyAlignment="1" applyProtection="1">
      <alignment horizontal="center" vertical="center" wrapText="1"/>
      <protection locked="0"/>
    </xf>
  </cellXfs>
  <cellStyles count="207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Normal" xfId="0" builtinId="0"/>
    <cellStyle name="Normal 2" xfId="1"/>
    <cellStyle name="Normal_Dressage-resulta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20"/>
  <sheetViews>
    <sheetView tabSelected="1" topLeftCell="N1" zoomScale="125" zoomScaleNormal="125" zoomScalePageLayoutView="125" workbookViewId="0">
      <selection activeCell="N16" sqref="N16"/>
    </sheetView>
  </sheetViews>
  <sheetFormatPr baseColWidth="10" defaultColWidth="8.6640625" defaultRowHeight="14" outlineLevelRow="1" x14ac:dyDescent="0"/>
  <cols>
    <col min="1" max="1" width="35.5" style="64" customWidth="1"/>
    <col min="2" max="2" width="12.5" style="64" bestFit="1" customWidth="1"/>
    <col min="3" max="3" width="19.5" style="64" customWidth="1"/>
    <col min="4" max="4" width="8.5" style="65" customWidth="1"/>
    <col min="5" max="5" width="3.5" style="201" customWidth="1"/>
    <col min="6" max="6" width="8.5" style="65" customWidth="1"/>
    <col min="7" max="7" width="3.5" style="201" customWidth="1"/>
    <col min="8" max="8" width="8.5" style="65" customWidth="1"/>
    <col min="9" max="9" width="3.5" style="201" customWidth="1"/>
    <col min="10" max="10" width="11.1640625" style="66" customWidth="1"/>
    <col min="11" max="11" width="3.5" style="212" customWidth="1"/>
    <col min="12" max="12" width="9" style="122" customWidth="1"/>
    <col min="13" max="18" width="8.6640625" style="62" customWidth="1"/>
    <col min="19" max="19" width="14.33203125" style="62" customWidth="1"/>
    <col min="20" max="20" width="3.5" style="212" customWidth="1"/>
    <col min="21" max="21" width="8.6640625" style="216" customWidth="1"/>
    <col min="22" max="28" width="8.6640625" style="62" customWidth="1"/>
    <col min="29" max="29" width="2.6640625" style="62" customWidth="1"/>
    <col min="30" max="30" width="8.6640625" style="216" customWidth="1"/>
    <col min="31" max="16384" width="8.6640625" style="62"/>
  </cols>
  <sheetData>
    <row r="1" spans="1:39" ht="34" customHeight="1">
      <c r="A1" s="29" t="s">
        <v>0</v>
      </c>
      <c r="B1" s="30" t="s">
        <v>1</v>
      </c>
      <c r="C1" s="31" t="s">
        <v>2</v>
      </c>
      <c r="D1" s="281" t="s">
        <v>113</v>
      </c>
      <c r="E1" s="282"/>
      <c r="F1" s="282"/>
      <c r="G1" s="282"/>
      <c r="H1" s="282"/>
      <c r="I1" s="282"/>
      <c r="J1" s="282"/>
      <c r="K1" s="231"/>
      <c r="L1" s="215" t="s">
        <v>175</v>
      </c>
      <c r="M1" s="281" t="s">
        <v>161</v>
      </c>
      <c r="N1" s="282"/>
      <c r="O1" s="282"/>
      <c r="P1" s="282"/>
      <c r="Q1" s="282"/>
      <c r="R1" s="282"/>
      <c r="S1" s="282"/>
      <c r="T1" s="231"/>
      <c r="U1" s="215" t="s">
        <v>175</v>
      </c>
      <c r="V1" s="281" t="s">
        <v>176</v>
      </c>
      <c r="W1" s="282"/>
      <c r="X1" s="282"/>
      <c r="Y1" s="282"/>
      <c r="Z1" s="282"/>
      <c r="AA1" s="282"/>
      <c r="AB1" s="282"/>
      <c r="AC1" s="231"/>
      <c r="AD1" s="217" t="s">
        <v>175</v>
      </c>
      <c r="AE1" s="281" t="s">
        <v>200</v>
      </c>
      <c r="AF1" s="282"/>
      <c r="AG1" s="282"/>
      <c r="AH1" s="282"/>
      <c r="AI1" s="282"/>
      <c r="AJ1" s="282"/>
      <c r="AK1" s="282"/>
      <c r="AL1" s="231"/>
      <c r="AM1" s="217" t="s">
        <v>175</v>
      </c>
    </row>
    <row r="2" spans="1:39" s="63" customFormat="1" ht="63.25" customHeight="1">
      <c r="A2" s="32" t="s">
        <v>3</v>
      </c>
      <c r="B2" s="28"/>
      <c r="C2" s="28"/>
      <c r="D2" s="232" t="s">
        <v>17</v>
      </c>
      <c r="E2" s="233" t="s">
        <v>23</v>
      </c>
      <c r="F2" s="232" t="s">
        <v>18</v>
      </c>
      <c r="G2" s="233" t="s">
        <v>23</v>
      </c>
      <c r="H2" s="232" t="s">
        <v>19</v>
      </c>
      <c r="I2" s="233" t="s">
        <v>23</v>
      </c>
      <c r="J2" s="234" t="s">
        <v>22</v>
      </c>
      <c r="K2" s="235" t="s">
        <v>24</v>
      </c>
      <c r="L2" s="220"/>
      <c r="M2" s="232" t="s">
        <v>17</v>
      </c>
      <c r="N2" s="233" t="s">
        <v>23</v>
      </c>
      <c r="O2" s="232" t="s">
        <v>18</v>
      </c>
      <c r="P2" s="233" t="s">
        <v>23</v>
      </c>
      <c r="Q2" s="232" t="s">
        <v>19</v>
      </c>
      <c r="R2" s="233" t="s">
        <v>23</v>
      </c>
      <c r="S2" s="234" t="s">
        <v>22</v>
      </c>
      <c r="T2" s="235" t="s">
        <v>24</v>
      </c>
      <c r="U2" s="218"/>
      <c r="V2" s="232" t="s">
        <v>17</v>
      </c>
      <c r="W2" s="233" t="s">
        <v>23</v>
      </c>
      <c r="X2" s="232" t="s">
        <v>18</v>
      </c>
      <c r="Y2" s="233" t="s">
        <v>23</v>
      </c>
      <c r="Z2" s="232" t="s">
        <v>19</v>
      </c>
      <c r="AA2" s="233" t="s">
        <v>23</v>
      </c>
      <c r="AB2" s="234" t="s">
        <v>22</v>
      </c>
      <c r="AC2" s="235" t="s">
        <v>24</v>
      </c>
      <c r="AD2" s="218"/>
      <c r="AE2" s="232" t="s">
        <v>17</v>
      </c>
      <c r="AF2" s="233" t="s">
        <v>23</v>
      </c>
      <c r="AG2" s="232" t="s">
        <v>18</v>
      </c>
      <c r="AH2" s="233" t="s">
        <v>23</v>
      </c>
      <c r="AI2" s="232" t="s">
        <v>19</v>
      </c>
      <c r="AJ2" s="233" t="s">
        <v>23</v>
      </c>
      <c r="AK2" s="234" t="s">
        <v>22</v>
      </c>
      <c r="AL2" s="235" t="s">
        <v>24</v>
      </c>
      <c r="AM2" s="218"/>
    </row>
    <row r="3" spans="1:39" ht="18" customHeight="1">
      <c r="A3" s="194" t="s">
        <v>162</v>
      </c>
      <c r="B3" s="192">
        <v>1678</v>
      </c>
      <c r="C3" s="195" t="s">
        <v>126</v>
      </c>
      <c r="D3" s="236"/>
      <c r="E3" s="237"/>
      <c r="F3" s="238"/>
      <c r="G3" s="237"/>
      <c r="H3" s="238"/>
      <c r="I3" s="237"/>
      <c r="J3" s="239">
        <f t="shared" ref="J3:J9" si="0">D3+F3+H3</f>
        <v>0</v>
      </c>
      <c r="K3" s="240"/>
      <c r="L3" s="221"/>
      <c r="M3" s="246">
        <v>50.951999999999998</v>
      </c>
      <c r="N3" s="247">
        <v>4</v>
      </c>
      <c r="O3" s="248">
        <v>49.762</v>
      </c>
      <c r="P3" s="247">
        <v>5</v>
      </c>
      <c r="Q3" s="248">
        <v>51.363999999999997</v>
      </c>
      <c r="R3" s="247">
        <v>4</v>
      </c>
      <c r="S3" s="249">
        <f t="shared" ref="S3:S9" si="1">M3+O3+Q3</f>
        <v>152.078</v>
      </c>
      <c r="T3" s="250"/>
      <c r="U3" s="219">
        <v>8</v>
      </c>
      <c r="V3" s="246">
        <v>58.57</v>
      </c>
      <c r="W3" s="247">
        <v>3</v>
      </c>
      <c r="X3" s="248">
        <v>62.14</v>
      </c>
      <c r="Y3" s="247">
        <v>4</v>
      </c>
      <c r="Z3" s="248">
        <v>65.459999999999994</v>
      </c>
      <c r="AA3" s="247">
        <v>3</v>
      </c>
      <c r="AB3" s="249">
        <f t="shared" ref="AB3:AB9" si="2">V3+X3+Z3</f>
        <v>186.17000000000002</v>
      </c>
      <c r="AC3" s="250"/>
      <c r="AD3" s="219">
        <f>(4*4)+(3*4)+(4*4)</f>
        <v>44</v>
      </c>
      <c r="AE3" s="246"/>
      <c r="AF3" s="247"/>
      <c r="AG3" s="248"/>
      <c r="AH3" s="247"/>
      <c r="AI3" s="248"/>
      <c r="AJ3" s="247"/>
      <c r="AK3" s="249">
        <f t="shared" ref="AK3" si="3">AE3+AG3+AI3</f>
        <v>0</v>
      </c>
      <c r="AL3" s="250"/>
      <c r="AM3" s="219"/>
    </row>
    <row r="4" spans="1:39" ht="18" customHeight="1">
      <c r="A4" s="194" t="s">
        <v>177</v>
      </c>
      <c r="B4" s="192">
        <v>1718</v>
      </c>
      <c r="C4" s="195" t="s">
        <v>178</v>
      </c>
      <c r="D4" s="236"/>
      <c r="E4" s="237"/>
      <c r="F4" s="238"/>
      <c r="G4" s="237"/>
      <c r="H4" s="238"/>
      <c r="I4" s="237"/>
      <c r="J4" s="239"/>
      <c r="K4" s="240"/>
      <c r="L4" s="221"/>
      <c r="M4" s="246"/>
      <c r="N4" s="247"/>
      <c r="O4" s="248"/>
      <c r="P4" s="247"/>
      <c r="Q4" s="248"/>
      <c r="R4" s="247"/>
      <c r="S4" s="249"/>
      <c r="T4" s="250"/>
      <c r="U4" s="219"/>
      <c r="V4" s="246" t="s">
        <v>187</v>
      </c>
      <c r="W4" s="247"/>
      <c r="X4" s="248">
        <v>64.048000000000002</v>
      </c>
      <c r="Y4" s="247">
        <v>3</v>
      </c>
      <c r="Z4" s="248">
        <v>64.09</v>
      </c>
      <c r="AA4" s="247">
        <v>4</v>
      </c>
      <c r="AB4" s="249">
        <f>X4+Z4</f>
        <v>128.13800000000001</v>
      </c>
      <c r="AC4" s="250"/>
      <c r="AD4" s="219">
        <f>(4*4)+(3*4)</f>
        <v>28</v>
      </c>
      <c r="AE4" s="246">
        <v>60</v>
      </c>
      <c r="AF4" s="247">
        <v>4</v>
      </c>
      <c r="AG4" s="248">
        <v>60.91</v>
      </c>
      <c r="AH4" s="247">
        <v>3</v>
      </c>
      <c r="AI4" s="248">
        <v>60.15</v>
      </c>
      <c r="AJ4" s="247">
        <v>2</v>
      </c>
      <c r="AK4" s="249">
        <f>AG4+AI4</f>
        <v>121.06</v>
      </c>
      <c r="AL4" s="250"/>
      <c r="AM4" s="219">
        <f>12+16+20</f>
        <v>48</v>
      </c>
    </row>
    <row r="5" spans="1:39" ht="18" customHeight="1">
      <c r="A5" s="194" t="s">
        <v>179</v>
      </c>
      <c r="B5" s="192">
        <v>3323</v>
      </c>
      <c r="C5" s="195" t="s">
        <v>180</v>
      </c>
      <c r="D5" s="236"/>
      <c r="E5" s="237"/>
      <c r="F5" s="238"/>
      <c r="G5" s="237"/>
      <c r="H5" s="238"/>
      <c r="I5" s="237"/>
      <c r="J5" s="239"/>
      <c r="K5" s="240"/>
      <c r="L5" s="221"/>
      <c r="M5" s="246"/>
      <c r="N5" s="247"/>
      <c r="O5" s="248"/>
      <c r="P5" s="247"/>
      <c r="Q5" s="248"/>
      <c r="R5" s="247"/>
      <c r="S5" s="249"/>
      <c r="T5" s="250"/>
      <c r="U5" s="219"/>
      <c r="V5" s="246">
        <v>67.38</v>
      </c>
      <c r="W5" s="247">
        <v>1</v>
      </c>
      <c r="X5" s="248">
        <v>69.52</v>
      </c>
      <c r="Y5" s="247">
        <v>1</v>
      </c>
      <c r="Z5" s="248">
        <v>67.5</v>
      </c>
      <c r="AA5" s="247">
        <v>1</v>
      </c>
      <c r="AB5" s="249">
        <f t="shared" ref="AB5:AB8" si="4">V5+X5+Z5</f>
        <v>204.39999999999998</v>
      </c>
      <c r="AC5" s="250" t="s">
        <v>156</v>
      </c>
      <c r="AD5" s="219">
        <f>24*3</f>
        <v>72</v>
      </c>
      <c r="AE5" s="246">
        <v>62.62</v>
      </c>
      <c r="AF5" s="247">
        <v>2</v>
      </c>
      <c r="AG5" s="248">
        <v>64.319999999999993</v>
      </c>
      <c r="AH5" s="247">
        <v>2</v>
      </c>
      <c r="AI5" s="248">
        <v>60</v>
      </c>
      <c r="AJ5" s="247">
        <v>3</v>
      </c>
      <c r="AK5" s="249">
        <f t="shared" ref="AK5:AK9" si="5">AE5+AG5+AI5</f>
        <v>186.94</v>
      </c>
      <c r="AL5" s="250" t="s">
        <v>155</v>
      </c>
      <c r="AM5" s="219">
        <f>20+20+16</f>
        <v>56</v>
      </c>
    </row>
    <row r="6" spans="1:39" ht="18" customHeight="1">
      <c r="A6" s="194" t="s">
        <v>181</v>
      </c>
      <c r="B6" s="192">
        <v>3398</v>
      </c>
      <c r="C6" s="195" t="s">
        <v>182</v>
      </c>
      <c r="D6" s="236"/>
      <c r="E6" s="237"/>
      <c r="F6" s="238"/>
      <c r="G6" s="237"/>
      <c r="H6" s="238"/>
      <c r="I6" s="237"/>
      <c r="J6" s="239"/>
      <c r="K6" s="240"/>
      <c r="L6" s="221"/>
      <c r="M6" s="246"/>
      <c r="N6" s="247"/>
      <c r="O6" s="248"/>
      <c r="P6" s="247"/>
      <c r="Q6" s="248"/>
      <c r="R6" s="247"/>
      <c r="S6" s="249"/>
      <c r="T6" s="250"/>
      <c r="U6" s="219"/>
      <c r="V6" s="246">
        <v>64.05</v>
      </c>
      <c r="W6" s="247">
        <v>2</v>
      </c>
      <c r="X6" s="248">
        <v>65.709999999999994</v>
      </c>
      <c r="Y6" s="247">
        <v>2</v>
      </c>
      <c r="Z6" s="248">
        <v>67.05</v>
      </c>
      <c r="AA6" s="247">
        <v>2</v>
      </c>
      <c r="AB6" s="249">
        <f t="shared" si="4"/>
        <v>196.81</v>
      </c>
      <c r="AC6" s="250" t="s">
        <v>155</v>
      </c>
      <c r="AD6" s="219">
        <f>(5*4)+(5*4)+(5*4)</f>
        <v>60</v>
      </c>
      <c r="AE6" s="246"/>
      <c r="AF6" s="247"/>
      <c r="AG6" s="248"/>
      <c r="AH6" s="247"/>
      <c r="AI6" s="248"/>
      <c r="AJ6" s="247"/>
      <c r="AK6" s="249">
        <f t="shared" si="5"/>
        <v>0</v>
      </c>
      <c r="AL6" s="250"/>
      <c r="AM6" s="219"/>
    </row>
    <row r="7" spans="1:39" ht="18" customHeight="1">
      <c r="A7" s="194" t="s">
        <v>183</v>
      </c>
      <c r="B7" s="192">
        <v>1787</v>
      </c>
      <c r="C7" s="195" t="s">
        <v>186</v>
      </c>
      <c r="D7" s="236"/>
      <c r="E7" s="237"/>
      <c r="F7" s="238"/>
      <c r="G7" s="237"/>
      <c r="H7" s="238"/>
      <c r="I7" s="237"/>
      <c r="J7" s="239"/>
      <c r="K7" s="240"/>
      <c r="L7" s="221"/>
      <c r="M7" s="246"/>
      <c r="N7" s="247"/>
      <c r="O7" s="248"/>
      <c r="P7" s="247"/>
      <c r="Q7" s="248"/>
      <c r="R7" s="247"/>
      <c r="S7" s="249"/>
      <c r="T7" s="250"/>
      <c r="U7" s="219"/>
      <c r="V7" s="246"/>
      <c r="W7" s="247"/>
      <c r="X7" s="248"/>
      <c r="Y7" s="247"/>
      <c r="Z7" s="248"/>
      <c r="AA7" s="247"/>
      <c r="AB7" s="249">
        <f t="shared" si="4"/>
        <v>0</v>
      </c>
      <c r="AC7" s="250"/>
      <c r="AD7" s="219"/>
      <c r="AE7" s="246">
        <v>63.33</v>
      </c>
      <c r="AF7" s="247">
        <v>1</v>
      </c>
      <c r="AG7" s="248">
        <v>67.73</v>
      </c>
      <c r="AH7" s="247">
        <v>1</v>
      </c>
      <c r="AI7" s="248">
        <v>61.14</v>
      </c>
      <c r="AJ7" s="247">
        <v>1</v>
      </c>
      <c r="AK7" s="249">
        <f t="shared" si="5"/>
        <v>192.2</v>
      </c>
      <c r="AL7" s="250" t="s">
        <v>156</v>
      </c>
      <c r="AM7" s="219">
        <f>24+24+24</f>
        <v>72</v>
      </c>
    </row>
    <row r="8" spans="1:39" ht="18" customHeight="1">
      <c r="A8" s="194" t="s">
        <v>184</v>
      </c>
      <c r="B8" s="192">
        <v>1788</v>
      </c>
      <c r="C8" s="195" t="s">
        <v>185</v>
      </c>
      <c r="D8" s="236"/>
      <c r="E8" s="237"/>
      <c r="F8" s="238"/>
      <c r="G8" s="237"/>
      <c r="H8" s="238"/>
      <c r="I8" s="237"/>
      <c r="J8" s="239"/>
      <c r="K8" s="240"/>
      <c r="L8" s="221"/>
      <c r="M8" s="246"/>
      <c r="N8" s="247"/>
      <c r="O8" s="248"/>
      <c r="P8" s="247"/>
      <c r="Q8" s="248"/>
      <c r="R8" s="247"/>
      <c r="S8" s="249"/>
      <c r="T8" s="250"/>
      <c r="U8" s="219"/>
      <c r="V8" s="246"/>
      <c r="W8" s="247"/>
      <c r="X8" s="248"/>
      <c r="Y8" s="247"/>
      <c r="Z8" s="248"/>
      <c r="AA8" s="247"/>
      <c r="AB8" s="249">
        <f t="shared" si="4"/>
        <v>0</v>
      </c>
      <c r="AC8" s="250"/>
      <c r="AD8" s="219"/>
      <c r="AE8" s="246">
        <v>61.9</v>
      </c>
      <c r="AF8" s="247">
        <v>3</v>
      </c>
      <c r="AG8" s="248">
        <v>60.23</v>
      </c>
      <c r="AH8" s="247">
        <v>4</v>
      </c>
      <c r="AI8" s="248">
        <v>60</v>
      </c>
      <c r="AJ8" s="247">
        <v>3</v>
      </c>
      <c r="AK8" s="249">
        <f t="shared" si="5"/>
        <v>182.13</v>
      </c>
      <c r="AL8" s="250"/>
      <c r="AM8" s="219">
        <f>16+12+16</f>
        <v>44</v>
      </c>
    </row>
    <row r="9" spans="1:39" ht="16.75" customHeight="1">
      <c r="A9" s="124"/>
      <c r="B9" s="4"/>
      <c r="C9" s="5"/>
      <c r="D9" s="241"/>
      <c r="E9" s="242"/>
      <c r="F9" s="243"/>
      <c r="G9" s="242"/>
      <c r="H9" s="243"/>
      <c r="I9" s="242"/>
      <c r="J9" s="244">
        <f t="shared" si="0"/>
        <v>0</v>
      </c>
      <c r="K9" s="245"/>
      <c r="L9" s="222"/>
      <c r="M9" s="241"/>
      <c r="N9" s="242"/>
      <c r="O9" s="243"/>
      <c r="P9" s="242"/>
      <c r="Q9" s="243"/>
      <c r="R9" s="242"/>
      <c r="S9" s="244">
        <f t="shared" si="1"/>
        <v>0</v>
      </c>
      <c r="T9" s="245"/>
      <c r="U9" s="219"/>
      <c r="V9" s="241"/>
      <c r="W9" s="242"/>
      <c r="X9" s="243"/>
      <c r="Y9" s="242"/>
      <c r="Z9" s="243"/>
      <c r="AA9" s="242"/>
      <c r="AB9" s="244">
        <f t="shared" si="2"/>
        <v>0</v>
      </c>
      <c r="AC9" s="245"/>
      <c r="AD9" s="219"/>
      <c r="AE9" s="241"/>
      <c r="AF9" s="242"/>
      <c r="AG9" s="243"/>
      <c r="AH9" s="242"/>
      <c r="AI9" s="243"/>
      <c r="AJ9" s="242"/>
      <c r="AK9" s="244">
        <f t="shared" si="5"/>
        <v>0</v>
      </c>
      <c r="AL9" s="245"/>
      <c r="AM9" s="219"/>
    </row>
    <row r="10" spans="1:39" ht="52">
      <c r="A10" s="32" t="s">
        <v>4</v>
      </c>
      <c r="B10" s="26"/>
      <c r="C10" s="26"/>
      <c r="D10" s="232" t="s">
        <v>17</v>
      </c>
      <c r="E10" s="233" t="s">
        <v>23</v>
      </c>
      <c r="F10" s="232" t="s">
        <v>18</v>
      </c>
      <c r="G10" s="233" t="s">
        <v>23</v>
      </c>
      <c r="H10" s="232" t="s">
        <v>19</v>
      </c>
      <c r="I10" s="233" t="s">
        <v>23</v>
      </c>
      <c r="J10" s="234"/>
      <c r="K10" s="235"/>
      <c r="L10" s="220"/>
      <c r="M10" s="232" t="s">
        <v>17</v>
      </c>
      <c r="N10" s="233" t="s">
        <v>23</v>
      </c>
      <c r="O10" s="232" t="s">
        <v>18</v>
      </c>
      <c r="P10" s="233" t="s">
        <v>23</v>
      </c>
      <c r="Q10" s="232" t="s">
        <v>19</v>
      </c>
      <c r="R10" s="233" t="s">
        <v>23</v>
      </c>
      <c r="S10" s="234"/>
      <c r="T10" s="235" t="s">
        <v>24</v>
      </c>
      <c r="U10" s="219"/>
      <c r="V10" s="232" t="s">
        <v>17</v>
      </c>
      <c r="W10" s="233" t="s">
        <v>23</v>
      </c>
      <c r="X10" s="232" t="s">
        <v>18</v>
      </c>
      <c r="Y10" s="233" t="s">
        <v>23</v>
      </c>
      <c r="Z10" s="232" t="s">
        <v>19</v>
      </c>
      <c r="AA10" s="233" t="s">
        <v>23</v>
      </c>
      <c r="AB10" s="234"/>
      <c r="AC10" s="235" t="s">
        <v>24</v>
      </c>
      <c r="AD10" s="219"/>
      <c r="AE10" s="232" t="s">
        <v>17</v>
      </c>
      <c r="AF10" s="233" t="s">
        <v>23</v>
      </c>
      <c r="AG10" s="232" t="s">
        <v>18</v>
      </c>
      <c r="AH10" s="233" t="s">
        <v>23</v>
      </c>
      <c r="AI10" s="232" t="s">
        <v>19</v>
      </c>
      <c r="AJ10" s="233" t="s">
        <v>23</v>
      </c>
      <c r="AK10" s="234"/>
      <c r="AL10" s="235" t="s">
        <v>24</v>
      </c>
      <c r="AM10" s="219"/>
    </row>
    <row r="11" spans="1:39" ht="18" customHeight="1">
      <c r="A11" s="194" t="s">
        <v>63</v>
      </c>
      <c r="B11" s="192">
        <v>1724</v>
      </c>
      <c r="C11" s="195" t="s">
        <v>199</v>
      </c>
      <c r="D11" s="246">
        <v>67.381</v>
      </c>
      <c r="E11" s="247">
        <v>1</v>
      </c>
      <c r="F11" s="248">
        <v>66.904799999999994</v>
      </c>
      <c r="G11" s="247">
        <v>1</v>
      </c>
      <c r="H11" s="248">
        <v>67.954999999999998</v>
      </c>
      <c r="I11" s="247">
        <v>1</v>
      </c>
      <c r="J11" s="249">
        <f t="shared" ref="J11:J16" si="6">D11+F11+H11</f>
        <v>202.24079999999998</v>
      </c>
      <c r="K11" s="250" t="s">
        <v>156</v>
      </c>
      <c r="L11" s="221">
        <f>6*6*3</f>
        <v>108</v>
      </c>
      <c r="M11" s="246"/>
      <c r="N11" s="247"/>
      <c r="O11" s="248"/>
      <c r="P11" s="247"/>
      <c r="Q11" s="248"/>
      <c r="R11" s="247"/>
      <c r="S11" s="249">
        <f t="shared" ref="S11:S18" si="7">M11+O11+Q11</f>
        <v>0</v>
      </c>
      <c r="T11" s="250"/>
      <c r="U11" s="219"/>
      <c r="V11" s="246">
        <v>68.33</v>
      </c>
      <c r="W11" s="247">
        <v>2</v>
      </c>
      <c r="X11" s="248">
        <v>74.290000000000006</v>
      </c>
      <c r="Y11" s="247">
        <v>1</v>
      </c>
      <c r="Z11" s="248">
        <v>74.55</v>
      </c>
      <c r="AA11" s="247">
        <v>1</v>
      </c>
      <c r="AB11" s="249">
        <f t="shared" ref="AB11:AB18" si="8">V11+X11+Z11</f>
        <v>217.17000000000002</v>
      </c>
      <c r="AC11" s="250" t="s">
        <v>156</v>
      </c>
      <c r="AD11" s="219">
        <f>20+24+24</f>
        <v>68</v>
      </c>
      <c r="AE11" s="246">
        <v>64.05</v>
      </c>
      <c r="AF11" s="247">
        <v>3</v>
      </c>
      <c r="AG11" s="248">
        <v>66.36</v>
      </c>
      <c r="AH11" s="247">
        <v>1</v>
      </c>
      <c r="AI11" s="248">
        <v>65.45</v>
      </c>
      <c r="AJ11" s="247">
        <v>2</v>
      </c>
      <c r="AK11" s="249">
        <f t="shared" ref="AK11" si="9">AE11+AG11+AI11</f>
        <v>195.86</v>
      </c>
      <c r="AL11" s="250" t="s">
        <v>155</v>
      </c>
      <c r="AM11" s="219">
        <f>16+24+20</f>
        <v>60</v>
      </c>
    </row>
    <row r="12" spans="1:39" ht="18" customHeight="1">
      <c r="A12" s="185" t="s">
        <v>104</v>
      </c>
      <c r="B12" s="192">
        <v>1719</v>
      </c>
      <c r="C12" s="195" t="s">
        <v>140</v>
      </c>
      <c r="D12" s="246">
        <v>59.762</v>
      </c>
      <c r="E12" s="247">
        <v>2</v>
      </c>
      <c r="F12" s="248">
        <v>66.427999999999997</v>
      </c>
      <c r="G12" s="247">
        <v>2</v>
      </c>
      <c r="H12" s="248">
        <v>63.182000000000002</v>
      </c>
      <c r="I12" s="247">
        <v>2</v>
      </c>
      <c r="J12" s="249">
        <f t="shared" si="6"/>
        <v>189.37200000000001</v>
      </c>
      <c r="K12" s="250" t="s">
        <v>155</v>
      </c>
      <c r="L12" s="221">
        <f>6*5*3</f>
        <v>90</v>
      </c>
      <c r="M12" s="246">
        <v>61.429000000000002</v>
      </c>
      <c r="N12" s="247">
        <v>1</v>
      </c>
      <c r="O12" s="248">
        <v>62.619</v>
      </c>
      <c r="P12" s="247">
        <v>1</v>
      </c>
      <c r="Q12" s="248">
        <v>60.682000000000002</v>
      </c>
      <c r="R12" s="247">
        <v>2</v>
      </c>
      <c r="S12" s="249">
        <f t="shared" si="7"/>
        <v>184.73000000000002</v>
      </c>
      <c r="T12" s="250" t="s">
        <v>156</v>
      </c>
      <c r="U12" s="219">
        <f>(6*3)+(6*3)+(5*3)</f>
        <v>51</v>
      </c>
      <c r="V12" s="246">
        <v>61.43</v>
      </c>
      <c r="W12" s="247">
        <v>4</v>
      </c>
      <c r="X12" s="248" t="s">
        <v>187</v>
      </c>
      <c r="Y12" s="247"/>
      <c r="Z12" s="248">
        <v>68.86</v>
      </c>
      <c r="AA12" s="247">
        <v>3</v>
      </c>
      <c r="AB12" s="249">
        <f>V12+Z12</f>
        <v>130.29</v>
      </c>
      <c r="AC12" s="250"/>
      <c r="AD12" s="219">
        <f>12+16</f>
        <v>28</v>
      </c>
      <c r="AE12" s="246">
        <v>60.95</v>
      </c>
      <c r="AF12" s="247">
        <v>4</v>
      </c>
      <c r="AG12" s="248">
        <v>60.91</v>
      </c>
      <c r="AH12" s="247">
        <v>4</v>
      </c>
      <c r="AI12" s="248">
        <v>61.36</v>
      </c>
      <c r="AJ12" s="247">
        <v>3</v>
      </c>
      <c r="AK12" s="249">
        <f>AE12+AI12</f>
        <v>122.31</v>
      </c>
      <c r="AL12" s="250"/>
      <c r="AM12" s="219">
        <f>12+12+16</f>
        <v>40</v>
      </c>
    </row>
    <row r="13" spans="1:39" ht="18" customHeight="1">
      <c r="A13" s="185" t="s">
        <v>101</v>
      </c>
      <c r="B13" s="192">
        <v>1723</v>
      </c>
      <c r="C13" s="195" t="s">
        <v>142</v>
      </c>
      <c r="D13" s="246">
        <v>59.286000000000001</v>
      </c>
      <c r="E13" s="247">
        <v>3</v>
      </c>
      <c r="F13" s="248">
        <v>63.571399999999997</v>
      </c>
      <c r="G13" s="247">
        <v>3</v>
      </c>
      <c r="H13" s="248">
        <v>62.954999999999998</v>
      </c>
      <c r="I13" s="247">
        <v>3</v>
      </c>
      <c r="J13" s="249">
        <f t="shared" si="6"/>
        <v>185.8124</v>
      </c>
      <c r="K13" s="250"/>
      <c r="L13" s="221">
        <f>6*4*3</f>
        <v>72</v>
      </c>
      <c r="M13" s="246">
        <v>57.619</v>
      </c>
      <c r="N13" s="247">
        <v>2</v>
      </c>
      <c r="O13" s="248">
        <v>58.094999999999999</v>
      </c>
      <c r="P13" s="247">
        <v>3</v>
      </c>
      <c r="Q13" s="248">
        <v>55.908999999999999</v>
      </c>
      <c r="R13" s="247">
        <v>3</v>
      </c>
      <c r="S13" s="249">
        <f t="shared" si="7"/>
        <v>171.62299999999999</v>
      </c>
      <c r="T13" s="250"/>
      <c r="U13" s="219">
        <f>(5*3)+(4*3)+(4*3)</f>
        <v>39</v>
      </c>
      <c r="V13" s="246">
        <v>68.099999999999994</v>
      </c>
      <c r="W13" s="247">
        <v>3</v>
      </c>
      <c r="X13" s="248">
        <v>69.290000000000006</v>
      </c>
      <c r="Y13" s="247">
        <v>2</v>
      </c>
      <c r="Z13" s="248">
        <v>67.959999999999994</v>
      </c>
      <c r="AA13" s="247">
        <v>4</v>
      </c>
      <c r="AB13" s="249">
        <f t="shared" si="8"/>
        <v>205.34999999999997</v>
      </c>
      <c r="AC13" s="250"/>
      <c r="AD13" s="219">
        <f>16+20+12</f>
        <v>48</v>
      </c>
      <c r="AE13" s="246"/>
      <c r="AF13" s="247"/>
      <c r="AG13" s="248"/>
      <c r="AH13" s="247"/>
      <c r="AI13" s="248"/>
      <c r="AJ13" s="247"/>
      <c r="AK13" s="249">
        <f t="shared" ref="AK13:AK18" si="10">AE13+AG13+AI13</f>
        <v>0</v>
      </c>
      <c r="AL13" s="250"/>
      <c r="AM13" s="219"/>
    </row>
    <row r="14" spans="1:39" ht="18" customHeight="1">
      <c r="A14" s="185" t="s">
        <v>102</v>
      </c>
      <c r="B14" s="192">
        <v>1713</v>
      </c>
      <c r="C14" s="195" t="s">
        <v>141</v>
      </c>
      <c r="D14" s="246">
        <v>57.619</v>
      </c>
      <c r="E14" s="247">
        <v>4</v>
      </c>
      <c r="F14" s="248">
        <v>63.571399999999997</v>
      </c>
      <c r="G14" s="247">
        <v>4</v>
      </c>
      <c r="H14" s="248">
        <v>59.091000000000001</v>
      </c>
      <c r="I14" s="247">
        <v>4</v>
      </c>
      <c r="J14" s="249">
        <f t="shared" si="6"/>
        <v>180.28139999999999</v>
      </c>
      <c r="K14" s="250"/>
      <c r="L14" s="221">
        <f>6*3*3</f>
        <v>54</v>
      </c>
      <c r="M14" s="246">
        <v>61.667000000000002</v>
      </c>
      <c r="N14" s="247">
        <v>1</v>
      </c>
      <c r="O14" s="248">
        <v>60.713999999999999</v>
      </c>
      <c r="P14" s="247">
        <v>2</v>
      </c>
      <c r="Q14" s="248">
        <v>62.273000000000003</v>
      </c>
      <c r="R14" s="247">
        <v>1</v>
      </c>
      <c r="S14" s="249">
        <f t="shared" si="7"/>
        <v>184.654</v>
      </c>
      <c r="T14" s="250" t="s">
        <v>155</v>
      </c>
      <c r="U14" s="219">
        <f>(6*3)+(5*3)+(6*3)</f>
        <v>51</v>
      </c>
      <c r="V14" s="246">
        <v>71.430000000000007</v>
      </c>
      <c r="W14" s="247">
        <v>1</v>
      </c>
      <c r="X14" s="248">
        <v>65</v>
      </c>
      <c r="Y14" s="247">
        <v>3</v>
      </c>
      <c r="Z14" s="248">
        <v>70.23</v>
      </c>
      <c r="AA14" s="247">
        <v>2</v>
      </c>
      <c r="AB14" s="249">
        <f t="shared" si="8"/>
        <v>206.66000000000003</v>
      </c>
      <c r="AC14" s="250" t="s">
        <v>155</v>
      </c>
      <c r="AD14" s="219">
        <f>24+16+20</f>
        <v>60</v>
      </c>
      <c r="AE14" s="246">
        <v>65.709999999999994</v>
      </c>
      <c r="AF14" s="247">
        <v>2</v>
      </c>
      <c r="AG14" s="248">
        <v>65.23</v>
      </c>
      <c r="AH14" s="247">
        <v>2</v>
      </c>
      <c r="AI14" s="248">
        <v>58.86</v>
      </c>
      <c r="AJ14" s="247">
        <v>4</v>
      </c>
      <c r="AK14" s="249">
        <f t="shared" si="10"/>
        <v>189.8</v>
      </c>
      <c r="AL14" s="250"/>
      <c r="AM14" s="219">
        <f>20+20+12</f>
        <v>52</v>
      </c>
    </row>
    <row r="15" spans="1:39" ht="20" customHeight="1">
      <c r="A15" s="183" t="s">
        <v>111</v>
      </c>
      <c r="B15" s="191"/>
      <c r="C15" s="196" t="s">
        <v>143</v>
      </c>
      <c r="D15" s="251">
        <v>56.905000000000001</v>
      </c>
      <c r="E15" s="252">
        <v>5</v>
      </c>
      <c r="F15" s="253">
        <v>61.665999999999997</v>
      </c>
      <c r="G15" s="252">
        <v>5</v>
      </c>
      <c r="H15" s="253">
        <v>56.363999999999997</v>
      </c>
      <c r="I15" s="252">
        <v>5</v>
      </c>
      <c r="J15" s="249">
        <f t="shared" si="6"/>
        <v>174.935</v>
      </c>
      <c r="K15" s="245"/>
      <c r="L15" s="222">
        <f>6*2*3</f>
        <v>36</v>
      </c>
      <c r="M15" s="251"/>
      <c r="N15" s="252"/>
      <c r="O15" s="253"/>
      <c r="P15" s="252"/>
      <c r="Q15" s="253"/>
      <c r="R15" s="252"/>
      <c r="S15" s="249">
        <f t="shared" si="7"/>
        <v>0</v>
      </c>
      <c r="T15" s="245"/>
      <c r="U15" s="219"/>
      <c r="V15" s="251"/>
      <c r="W15" s="252"/>
      <c r="X15" s="253"/>
      <c r="Y15" s="252"/>
      <c r="Z15" s="253"/>
      <c r="AA15" s="252"/>
      <c r="AB15" s="249">
        <f t="shared" si="8"/>
        <v>0</v>
      </c>
      <c r="AC15" s="245"/>
      <c r="AD15" s="219"/>
      <c r="AE15" s="251"/>
      <c r="AF15" s="252"/>
      <c r="AG15" s="253"/>
      <c r="AH15" s="252"/>
      <c r="AI15" s="253"/>
      <c r="AJ15" s="252"/>
      <c r="AK15" s="249">
        <f t="shared" si="10"/>
        <v>0</v>
      </c>
      <c r="AL15" s="245"/>
      <c r="AM15" s="219"/>
    </row>
    <row r="16" spans="1:39" ht="20" customHeight="1">
      <c r="A16" s="183" t="s">
        <v>100</v>
      </c>
      <c r="B16" s="191"/>
      <c r="C16" s="196" t="s">
        <v>139</v>
      </c>
      <c r="D16" s="251">
        <v>55.951999999999998</v>
      </c>
      <c r="E16" s="252">
        <v>6</v>
      </c>
      <c r="F16" s="253">
        <v>60.238</v>
      </c>
      <c r="G16" s="252">
        <v>6</v>
      </c>
      <c r="H16" s="253">
        <v>55.682000000000002</v>
      </c>
      <c r="I16" s="252">
        <v>6</v>
      </c>
      <c r="J16" s="249">
        <f t="shared" si="6"/>
        <v>171.87200000000001</v>
      </c>
      <c r="K16" s="245"/>
      <c r="L16" s="222">
        <f>6*1*3</f>
        <v>18</v>
      </c>
      <c r="M16" s="251"/>
      <c r="N16" s="252"/>
      <c r="O16" s="253"/>
      <c r="P16" s="252"/>
      <c r="Q16" s="253"/>
      <c r="R16" s="252"/>
      <c r="S16" s="249">
        <f t="shared" si="7"/>
        <v>0</v>
      </c>
      <c r="T16" s="245"/>
      <c r="U16" s="219"/>
      <c r="V16" s="251"/>
      <c r="W16" s="252"/>
      <c r="X16" s="253"/>
      <c r="Y16" s="252"/>
      <c r="Z16" s="253"/>
      <c r="AA16" s="252"/>
      <c r="AB16" s="249">
        <f t="shared" si="8"/>
        <v>0</v>
      </c>
      <c r="AC16" s="245"/>
      <c r="AD16" s="219"/>
      <c r="AE16" s="251"/>
      <c r="AF16" s="252"/>
      <c r="AG16" s="253"/>
      <c r="AH16" s="252"/>
      <c r="AI16" s="253"/>
      <c r="AJ16" s="252"/>
      <c r="AK16" s="249">
        <f t="shared" si="10"/>
        <v>0</v>
      </c>
      <c r="AL16" s="245"/>
      <c r="AM16" s="219"/>
    </row>
    <row r="17" spans="1:39" ht="20" customHeight="1">
      <c r="A17" s="183" t="s">
        <v>46</v>
      </c>
      <c r="B17" s="191">
        <v>1783</v>
      </c>
      <c r="C17" s="196" t="s">
        <v>201</v>
      </c>
      <c r="D17" s="251"/>
      <c r="E17" s="252"/>
      <c r="F17" s="253"/>
      <c r="G17" s="252"/>
      <c r="H17" s="253"/>
      <c r="I17" s="252"/>
      <c r="J17" s="249">
        <f t="shared" ref="J17:J18" si="11">D17+F17+H17</f>
        <v>0</v>
      </c>
      <c r="K17" s="245"/>
      <c r="L17" s="222"/>
      <c r="M17" s="251"/>
      <c r="N17" s="252"/>
      <c r="O17" s="253"/>
      <c r="P17" s="252"/>
      <c r="Q17" s="253"/>
      <c r="R17" s="252"/>
      <c r="S17" s="249">
        <f t="shared" si="7"/>
        <v>0</v>
      </c>
      <c r="T17" s="245"/>
      <c r="U17" s="219"/>
      <c r="V17" s="251"/>
      <c r="W17" s="252"/>
      <c r="X17" s="253"/>
      <c r="Y17" s="252"/>
      <c r="Z17" s="253"/>
      <c r="AA17" s="252"/>
      <c r="AB17" s="249">
        <f t="shared" si="8"/>
        <v>0</v>
      </c>
      <c r="AC17" s="245"/>
      <c r="AD17" s="219"/>
      <c r="AE17" s="251">
        <v>66.900000000000006</v>
      </c>
      <c r="AF17" s="252">
        <v>1</v>
      </c>
      <c r="AG17" s="253">
        <v>64.77</v>
      </c>
      <c r="AH17" s="252">
        <v>3</v>
      </c>
      <c r="AI17" s="253">
        <v>67.95</v>
      </c>
      <c r="AJ17" s="252">
        <v>1</v>
      </c>
      <c r="AK17" s="249">
        <f t="shared" si="10"/>
        <v>199.62</v>
      </c>
      <c r="AL17" s="245" t="s">
        <v>156</v>
      </c>
      <c r="AM17" s="219">
        <f>24+24+16</f>
        <v>64</v>
      </c>
    </row>
    <row r="18" spans="1:39" ht="20" customHeight="1">
      <c r="A18" s="125"/>
      <c r="B18" s="6"/>
      <c r="C18" s="7"/>
      <c r="D18" s="251"/>
      <c r="E18" s="252"/>
      <c r="F18" s="253"/>
      <c r="G18" s="252"/>
      <c r="H18" s="253"/>
      <c r="I18" s="252"/>
      <c r="J18" s="249">
        <f t="shared" si="11"/>
        <v>0</v>
      </c>
      <c r="K18" s="245"/>
      <c r="L18" s="222"/>
      <c r="M18" s="251"/>
      <c r="N18" s="252"/>
      <c r="O18" s="253"/>
      <c r="P18" s="252"/>
      <c r="Q18" s="253"/>
      <c r="R18" s="252"/>
      <c r="S18" s="249">
        <f t="shared" si="7"/>
        <v>0</v>
      </c>
      <c r="T18" s="245"/>
      <c r="U18" s="219"/>
      <c r="V18" s="251"/>
      <c r="W18" s="252"/>
      <c r="X18" s="253"/>
      <c r="Y18" s="252"/>
      <c r="Z18" s="253"/>
      <c r="AA18" s="252"/>
      <c r="AB18" s="249">
        <f t="shared" si="8"/>
        <v>0</v>
      </c>
      <c r="AC18" s="245"/>
      <c r="AD18" s="219"/>
      <c r="AE18" s="251"/>
      <c r="AF18" s="252"/>
      <c r="AG18" s="253"/>
      <c r="AH18" s="252"/>
      <c r="AI18" s="253"/>
      <c r="AJ18" s="252"/>
      <c r="AK18" s="249">
        <f t="shared" si="10"/>
        <v>0</v>
      </c>
      <c r="AL18" s="245"/>
      <c r="AM18" s="219"/>
    </row>
    <row r="19" spans="1:39" ht="63" customHeight="1">
      <c r="A19" s="32" t="s">
        <v>5</v>
      </c>
      <c r="B19" s="26"/>
      <c r="C19" s="26"/>
      <c r="D19" s="232" t="s">
        <v>17</v>
      </c>
      <c r="E19" s="233" t="s">
        <v>23</v>
      </c>
      <c r="F19" s="232" t="s">
        <v>18</v>
      </c>
      <c r="G19" s="233" t="s">
        <v>23</v>
      </c>
      <c r="H19" s="232" t="s">
        <v>19</v>
      </c>
      <c r="I19" s="233" t="s">
        <v>23</v>
      </c>
      <c r="J19" s="234" t="s">
        <v>22</v>
      </c>
      <c r="K19" s="235" t="s">
        <v>24</v>
      </c>
      <c r="L19" s="220"/>
      <c r="M19" s="232" t="s">
        <v>17</v>
      </c>
      <c r="N19" s="233" t="s">
        <v>23</v>
      </c>
      <c r="O19" s="232" t="s">
        <v>18</v>
      </c>
      <c r="P19" s="233" t="s">
        <v>23</v>
      </c>
      <c r="Q19" s="232" t="s">
        <v>19</v>
      </c>
      <c r="R19" s="233" t="s">
        <v>23</v>
      </c>
      <c r="S19" s="234" t="s">
        <v>22</v>
      </c>
      <c r="T19" s="235" t="s">
        <v>24</v>
      </c>
      <c r="U19" s="219"/>
      <c r="V19" s="232" t="s">
        <v>17</v>
      </c>
      <c r="W19" s="233" t="s">
        <v>23</v>
      </c>
      <c r="X19" s="232" t="s">
        <v>18</v>
      </c>
      <c r="Y19" s="233" t="s">
        <v>23</v>
      </c>
      <c r="Z19" s="232" t="s">
        <v>19</v>
      </c>
      <c r="AA19" s="233" t="s">
        <v>23</v>
      </c>
      <c r="AB19" s="234" t="s">
        <v>22</v>
      </c>
      <c r="AC19" s="235" t="s">
        <v>24</v>
      </c>
      <c r="AD19" s="219"/>
      <c r="AE19" s="232" t="s">
        <v>17</v>
      </c>
      <c r="AF19" s="233" t="s">
        <v>23</v>
      </c>
      <c r="AG19" s="232" t="s">
        <v>18</v>
      </c>
      <c r="AH19" s="233" t="s">
        <v>23</v>
      </c>
      <c r="AI19" s="232" t="s">
        <v>19</v>
      </c>
      <c r="AJ19" s="233" t="s">
        <v>23</v>
      </c>
      <c r="AK19" s="234" t="s">
        <v>22</v>
      </c>
      <c r="AL19" s="235" t="s">
        <v>24</v>
      </c>
      <c r="AM19" s="219"/>
    </row>
    <row r="20" spans="1:39" ht="18" customHeight="1">
      <c r="A20" s="190" t="s">
        <v>93</v>
      </c>
      <c r="B20" s="192"/>
      <c r="C20" s="195" t="s">
        <v>94</v>
      </c>
      <c r="D20" s="254">
        <v>57.619</v>
      </c>
      <c r="E20" s="255">
        <v>1</v>
      </c>
      <c r="F20" s="256">
        <v>63.094999999999999</v>
      </c>
      <c r="G20" s="255">
        <v>1</v>
      </c>
      <c r="H20" s="254">
        <v>62.954999999999998</v>
      </c>
      <c r="I20" s="255">
        <v>2</v>
      </c>
      <c r="J20" s="257">
        <f>D20+F20+H20</f>
        <v>183.66899999999998</v>
      </c>
      <c r="K20" s="250" t="s">
        <v>156</v>
      </c>
      <c r="L20" s="223">
        <f>(6*2)+(6*3)+(5*3)</f>
        <v>45</v>
      </c>
      <c r="M20" s="254"/>
      <c r="N20" s="255"/>
      <c r="O20" s="256"/>
      <c r="P20" s="255"/>
      <c r="Q20" s="254"/>
      <c r="R20" s="255"/>
      <c r="S20" s="257">
        <f>M20+O20+Q20</f>
        <v>0</v>
      </c>
      <c r="T20" s="250"/>
      <c r="U20" s="219"/>
      <c r="V20" s="254"/>
      <c r="W20" s="255"/>
      <c r="X20" s="256"/>
      <c r="Y20" s="255"/>
      <c r="Z20" s="254"/>
      <c r="AA20" s="255"/>
      <c r="AB20" s="257">
        <f>V20+X20+Z20</f>
        <v>0</v>
      </c>
      <c r="AC20" s="250"/>
      <c r="AD20" s="219"/>
      <c r="AE20" s="254"/>
      <c r="AF20" s="255"/>
      <c r="AG20" s="256"/>
      <c r="AH20" s="255"/>
      <c r="AI20" s="254"/>
      <c r="AJ20" s="255"/>
      <c r="AK20" s="257">
        <f>AE20+AG20+AI20</f>
        <v>0</v>
      </c>
      <c r="AL20" s="250"/>
      <c r="AM20" s="219"/>
    </row>
    <row r="21" spans="1:39" ht="18" customHeight="1">
      <c r="A21" s="193" t="s">
        <v>97</v>
      </c>
      <c r="B21" s="191">
        <v>1781</v>
      </c>
      <c r="C21" s="196" t="s">
        <v>138</v>
      </c>
      <c r="D21" s="243">
        <v>53.81</v>
      </c>
      <c r="E21" s="242">
        <v>2</v>
      </c>
      <c r="F21" s="241">
        <v>56.429000000000002</v>
      </c>
      <c r="G21" s="242">
        <v>2</v>
      </c>
      <c r="H21" s="243">
        <v>65.227000000000004</v>
      </c>
      <c r="I21" s="242">
        <v>1</v>
      </c>
      <c r="J21" s="257">
        <f>D21+F21+H21</f>
        <v>175.46600000000001</v>
      </c>
      <c r="K21" s="245" t="s">
        <v>155</v>
      </c>
      <c r="L21" s="224">
        <f>(5*2)+(5*3)+(6*3)</f>
        <v>43</v>
      </c>
      <c r="M21" s="243"/>
      <c r="N21" s="242"/>
      <c r="O21" s="241"/>
      <c r="P21" s="242"/>
      <c r="Q21" s="243"/>
      <c r="R21" s="242"/>
      <c r="S21" s="257">
        <f>M21+O21+Q21</f>
        <v>0</v>
      </c>
      <c r="T21" s="245"/>
      <c r="U21" s="219"/>
      <c r="V21" s="243"/>
      <c r="W21" s="242"/>
      <c r="X21" s="241"/>
      <c r="Y21" s="242"/>
      <c r="Z21" s="243"/>
      <c r="AA21" s="242"/>
      <c r="AB21" s="257">
        <f>V21+X21+Z21</f>
        <v>0</v>
      </c>
      <c r="AC21" s="245"/>
      <c r="AD21" s="219"/>
      <c r="AE21" s="243">
        <v>59.52</v>
      </c>
      <c r="AF21" s="242">
        <v>2</v>
      </c>
      <c r="AG21" s="241">
        <v>60.23</v>
      </c>
      <c r="AH21" s="242">
        <v>3</v>
      </c>
      <c r="AI21" s="243">
        <v>60.45</v>
      </c>
      <c r="AJ21" s="242">
        <v>3</v>
      </c>
      <c r="AK21" s="257">
        <f>AE21+AG21+AI21</f>
        <v>180.2</v>
      </c>
      <c r="AL21" s="245"/>
      <c r="AM21" s="219">
        <f>25+20+20</f>
        <v>65</v>
      </c>
    </row>
    <row r="22" spans="1:39" ht="18" customHeight="1">
      <c r="A22" s="193" t="s">
        <v>107</v>
      </c>
      <c r="B22" s="191">
        <v>1492</v>
      </c>
      <c r="C22" s="196" t="s">
        <v>150</v>
      </c>
      <c r="D22" s="243"/>
      <c r="E22" s="242"/>
      <c r="F22" s="241">
        <v>55</v>
      </c>
      <c r="G22" s="242">
        <v>3</v>
      </c>
      <c r="H22" s="243">
        <v>56.817999999999998</v>
      </c>
      <c r="I22" s="242">
        <v>3</v>
      </c>
      <c r="J22" s="257">
        <f>D22+F22+H22</f>
        <v>111.818</v>
      </c>
      <c r="K22" s="245"/>
      <c r="L22" s="224">
        <f>(4*3)*2</f>
        <v>24</v>
      </c>
      <c r="M22" s="243">
        <v>59.048000000000002</v>
      </c>
      <c r="N22" s="242">
        <v>1</v>
      </c>
      <c r="O22" s="241">
        <v>59.286000000000001</v>
      </c>
      <c r="P22" s="242">
        <v>1</v>
      </c>
      <c r="Q22" s="243">
        <v>59.545000000000002</v>
      </c>
      <c r="R22" s="242">
        <v>2</v>
      </c>
      <c r="S22" s="257">
        <f>M22+O22+Q22</f>
        <v>177.87900000000002</v>
      </c>
      <c r="T22" s="245" t="s">
        <v>155</v>
      </c>
      <c r="U22" s="219">
        <f>+(6*3)+(6*3)+(5*3)</f>
        <v>51</v>
      </c>
      <c r="V22" s="243"/>
      <c r="W22" s="242"/>
      <c r="X22" s="241"/>
      <c r="Y22" s="242"/>
      <c r="Z22" s="243"/>
      <c r="AA22" s="242"/>
      <c r="AB22" s="257">
        <f>V22+X22+Z22</f>
        <v>0</v>
      </c>
      <c r="AC22" s="245"/>
      <c r="AD22" s="219"/>
      <c r="AE22" s="243"/>
      <c r="AF22" s="242"/>
      <c r="AG22" s="241"/>
      <c r="AH22" s="242"/>
      <c r="AI22" s="243"/>
      <c r="AJ22" s="242"/>
      <c r="AK22" s="257">
        <f>AE22+AG22+AI22</f>
        <v>0</v>
      </c>
      <c r="AL22" s="245"/>
      <c r="AM22" s="219"/>
    </row>
    <row r="23" spans="1:39" ht="18" customHeight="1">
      <c r="A23" s="193" t="s">
        <v>163</v>
      </c>
      <c r="B23" s="191">
        <v>3395</v>
      </c>
      <c r="C23" s="196" t="s">
        <v>165</v>
      </c>
      <c r="D23" s="241"/>
      <c r="E23" s="242"/>
      <c r="F23" s="243"/>
      <c r="G23" s="242"/>
      <c r="H23" s="243"/>
      <c r="I23" s="242"/>
      <c r="J23" s="257">
        <f t="shared" ref="J23:J28" si="12">D23+F23+H23</f>
        <v>0</v>
      </c>
      <c r="K23" s="245"/>
      <c r="L23" s="222"/>
      <c r="M23" s="241">
        <v>55.713999999999999</v>
      </c>
      <c r="N23" s="242">
        <v>3</v>
      </c>
      <c r="O23" s="243">
        <v>58.094999999999999</v>
      </c>
      <c r="P23" s="242">
        <v>3</v>
      </c>
      <c r="Q23" s="243">
        <v>55.908999999999999</v>
      </c>
      <c r="R23" s="242">
        <v>3</v>
      </c>
      <c r="S23" s="257">
        <f t="shared" ref="S23:S28" si="13">M23+O23+Q23</f>
        <v>169.71799999999999</v>
      </c>
      <c r="T23" s="245"/>
      <c r="U23" s="219">
        <f>(4*3)+(4*3)+(4*3)</f>
        <v>36</v>
      </c>
      <c r="V23" s="241"/>
      <c r="W23" s="242"/>
      <c r="X23" s="243"/>
      <c r="Y23" s="242"/>
      <c r="Z23" s="243"/>
      <c r="AA23" s="242"/>
      <c r="AB23" s="257">
        <f t="shared" ref="AB23:AB28" si="14">V23+X23+Z23</f>
        <v>0</v>
      </c>
      <c r="AC23" s="245"/>
      <c r="AD23" s="219"/>
      <c r="AE23" s="241"/>
      <c r="AF23" s="242"/>
      <c r="AG23" s="243"/>
      <c r="AH23" s="242"/>
      <c r="AI23" s="243"/>
      <c r="AJ23" s="242"/>
      <c r="AK23" s="257">
        <f t="shared" ref="AK23:AK28" si="15">AE23+AG23+AI23</f>
        <v>0</v>
      </c>
      <c r="AL23" s="245"/>
      <c r="AM23" s="219"/>
    </row>
    <row r="24" spans="1:39" ht="18" customHeight="1">
      <c r="A24" s="193" t="s">
        <v>164</v>
      </c>
      <c r="B24" s="191">
        <v>3394</v>
      </c>
      <c r="C24" s="196" t="s">
        <v>166</v>
      </c>
      <c r="D24" s="241"/>
      <c r="E24" s="242"/>
      <c r="F24" s="243"/>
      <c r="G24" s="242"/>
      <c r="H24" s="243"/>
      <c r="I24" s="242"/>
      <c r="J24" s="257">
        <f t="shared" si="12"/>
        <v>0</v>
      </c>
      <c r="K24" s="245"/>
      <c r="L24" s="222"/>
      <c r="M24" s="241">
        <v>59.048000000000002</v>
      </c>
      <c r="N24" s="242">
        <v>1</v>
      </c>
      <c r="O24" s="243">
        <v>58.094999999999999</v>
      </c>
      <c r="P24" s="242">
        <v>2</v>
      </c>
      <c r="Q24" s="243">
        <v>62.726999999999997</v>
      </c>
      <c r="R24" s="242">
        <v>1</v>
      </c>
      <c r="S24" s="257">
        <f t="shared" si="13"/>
        <v>179.87</v>
      </c>
      <c r="T24" s="245" t="s">
        <v>156</v>
      </c>
      <c r="U24" s="219">
        <f>(6*3)+(5*3)+(6*3)</f>
        <v>51</v>
      </c>
      <c r="V24" s="241">
        <v>69.290000000000006</v>
      </c>
      <c r="W24" s="242">
        <v>2</v>
      </c>
      <c r="X24" s="243">
        <v>67.62</v>
      </c>
      <c r="Y24" s="242">
        <v>2</v>
      </c>
      <c r="Z24" s="243">
        <v>68.180000000000007</v>
      </c>
      <c r="AA24" s="242">
        <v>2</v>
      </c>
      <c r="AB24" s="257">
        <f t="shared" si="14"/>
        <v>205.09000000000003</v>
      </c>
      <c r="AC24" s="245" t="s">
        <v>155</v>
      </c>
      <c r="AD24" s="219">
        <f>10+10+10</f>
        <v>30</v>
      </c>
      <c r="AE24" s="241">
        <v>61.67</v>
      </c>
      <c r="AF24" s="242">
        <v>1</v>
      </c>
      <c r="AG24" s="243">
        <v>62.05</v>
      </c>
      <c r="AH24" s="242">
        <v>1</v>
      </c>
      <c r="AI24" s="243">
        <v>61.82</v>
      </c>
      <c r="AJ24" s="242">
        <v>2</v>
      </c>
      <c r="AK24" s="257">
        <f t="shared" si="15"/>
        <v>185.54</v>
      </c>
      <c r="AL24" s="245" t="s">
        <v>156</v>
      </c>
      <c r="AM24" s="219">
        <f>30+30+25</f>
        <v>85</v>
      </c>
    </row>
    <row r="25" spans="1:39" ht="18" customHeight="1">
      <c r="A25" s="193" t="s">
        <v>107</v>
      </c>
      <c r="B25" s="191">
        <v>1492</v>
      </c>
      <c r="C25" s="196" t="s">
        <v>139</v>
      </c>
      <c r="D25" s="241"/>
      <c r="E25" s="242"/>
      <c r="F25" s="243"/>
      <c r="G25" s="242"/>
      <c r="H25" s="243"/>
      <c r="I25" s="242"/>
      <c r="J25" s="257">
        <f t="shared" si="12"/>
        <v>0</v>
      </c>
      <c r="K25" s="245"/>
      <c r="L25" s="222"/>
      <c r="M25" s="241"/>
      <c r="N25" s="242"/>
      <c r="O25" s="243"/>
      <c r="P25" s="242"/>
      <c r="Q25" s="243"/>
      <c r="R25" s="242"/>
      <c r="S25" s="257">
        <f t="shared" si="13"/>
        <v>0</v>
      </c>
      <c r="T25" s="245"/>
      <c r="U25" s="219"/>
      <c r="V25" s="241">
        <v>69.52</v>
      </c>
      <c r="W25" s="242">
        <v>1</v>
      </c>
      <c r="X25" s="243">
        <v>70.709999999999994</v>
      </c>
      <c r="Y25" s="242">
        <v>1</v>
      </c>
      <c r="Z25" s="243">
        <v>71.59</v>
      </c>
      <c r="AA25" s="242">
        <v>1</v>
      </c>
      <c r="AB25" s="257">
        <f t="shared" si="14"/>
        <v>211.82</v>
      </c>
      <c r="AC25" s="245" t="s">
        <v>156</v>
      </c>
      <c r="AD25" s="219">
        <f>12+12+12</f>
        <v>36</v>
      </c>
      <c r="AE25" s="243">
        <v>56.9</v>
      </c>
      <c r="AF25" s="242">
        <v>3</v>
      </c>
      <c r="AG25" s="241">
        <v>60.91</v>
      </c>
      <c r="AH25" s="242">
        <v>2</v>
      </c>
      <c r="AI25" s="243">
        <v>63.86</v>
      </c>
      <c r="AJ25" s="242">
        <v>1</v>
      </c>
      <c r="AK25" s="257">
        <f t="shared" si="15"/>
        <v>181.67000000000002</v>
      </c>
      <c r="AL25" s="245" t="s">
        <v>155</v>
      </c>
      <c r="AM25" s="219">
        <f>20+25+30</f>
        <v>75</v>
      </c>
    </row>
    <row r="26" spans="1:39" ht="18" customHeight="1">
      <c r="A26" s="193" t="s">
        <v>202</v>
      </c>
      <c r="B26" s="191">
        <v>2322</v>
      </c>
      <c r="C26" s="196" t="s">
        <v>203</v>
      </c>
      <c r="D26" s="241"/>
      <c r="E26" s="242"/>
      <c r="F26" s="243"/>
      <c r="G26" s="242"/>
      <c r="H26" s="243"/>
      <c r="I26" s="242"/>
      <c r="J26" s="257"/>
      <c r="K26" s="245"/>
      <c r="L26" s="222"/>
      <c r="M26" s="241"/>
      <c r="N26" s="242"/>
      <c r="O26" s="243"/>
      <c r="P26" s="242"/>
      <c r="Q26" s="243"/>
      <c r="R26" s="242"/>
      <c r="S26" s="257"/>
      <c r="T26" s="245"/>
      <c r="U26" s="219"/>
      <c r="V26" s="241"/>
      <c r="W26" s="242"/>
      <c r="X26" s="243"/>
      <c r="Y26" s="242"/>
      <c r="Z26" s="243"/>
      <c r="AA26" s="242"/>
      <c r="AB26" s="257"/>
      <c r="AC26" s="245"/>
      <c r="AD26" s="219"/>
      <c r="AE26" s="241">
        <v>54.76</v>
      </c>
      <c r="AF26" s="242">
        <v>4</v>
      </c>
      <c r="AG26" s="241">
        <v>57.95</v>
      </c>
      <c r="AH26" s="242">
        <v>4</v>
      </c>
      <c r="AI26" s="243">
        <v>57.05</v>
      </c>
      <c r="AJ26" s="242">
        <v>4</v>
      </c>
      <c r="AK26" s="257">
        <f t="shared" si="15"/>
        <v>169.76</v>
      </c>
      <c r="AL26" s="245"/>
      <c r="AM26" s="219">
        <f>15+15+15</f>
        <v>45</v>
      </c>
    </row>
    <row r="27" spans="1:39" ht="18" customHeight="1">
      <c r="A27" s="193" t="s">
        <v>204</v>
      </c>
      <c r="B27" s="191">
        <v>1782</v>
      </c>
      <c r="C27" s="196" t="s">
        <v>205</v>
      </c>
      <c r="D27" s="241"/>
      <c r="E27" s="242"/>
      <c r="F27" s="243"/>
      <c r="G27" s="242"/>
      <c r="H27" s="243"/>
      <c r="I27" s="242"/>
      <c r="J27" s="257"/>
      <c r="K27" s="245"/>
      <c r="L27" s="222"/>
      <c r="M27" s="241"/>
      <c r="N27" s="242"/>
      <c r="O27" s="243"/>
      <c r="P27" s="242"/>
      <c r="Q27" s="243"/>
      <c r="R27" s="242"/>
      <c r="S27" s="257"/>
      <c r="T27" s="245"/>
      <c r="U27" s="219"/>
      <c r="V27" s="241"/>
      <c r="W27" s="242"/>
      <c r="X27" s="243"/>
      <c r="Y27" s="242"/>
      <c r="Z27" s="243"/>
      <c r="AA27" s="242"/>
      <c r="AB27" s="257"/>
      <c r="AC27" s="245"/>
      <c r="AD27" s="219"/>
      <c r="AE27" s="241">
        <v>51.19</v>
      </c>
      <c r="AF27" s="242">
        <v>5</v>
      </c>
      <c r="AG27" s="241">
        <v>56.82</v>
      </c>
      <c r="AH27" s="242">
        <v>5</v>
      </c>
      <c r="AI27" s="243">
        <v>54.77</v>
      </c>
      <c r="AJ27" s="242">
        <v>5</v>
      </c>
      <c r="AK27" s="257">
        <f t="shared" si="15"/>
        <v>162.78</v>
      </c>
      <c r="AL27" s="245"/>
      <c r="AM27" s="219">
        <f>30</f>
        <v>30</v>
      </c>
    </row>
    <row r="28" spans="1:39" ht="18" customHeight="1">
      <c r="A28" s="36"/>
      <c r="B28" s="4"/>
      <c r="C28" s="5"/>
      <c r="D28" s="241"/>
      <c r="E28" s="242"/>
      <c r="F28" s="243"/>
      <c r="G28" s="242"/>
      <c r="H28" s="243"/>
      <c r="I28" s="242"/>
      <c r="J28" s="257">
        <f t="shared" si="12"/>
        <v>0</v>
      </c>
      <c r="K28" s="245"/>
      <c r="L28" s="222"/>
      <c r="M28" s="241"/>
      <c r="N28" s="242"/>
      <c r="O28" s="243"/>
      <c r="P28" s="242"/>
      <c r="Q28" s="243"/>
      <c r="R28" s="242"/>
      <c r="S28" s="257">
        <f t="shared" si="13"/>
        <v>0</v>
      </c>
      <c r="T28" s="245"/>
      <c r="U28" s="219"/>
      <c r="V28" s="241"/>
      <c r="W28" s="242"/>
      <c r="X28" s="243"/>
      <c r="Y28" s="242"/>
      <c r="Z28" s="243"/>
      <c r="AA28" s="242"/>
      <c r="AB28" s="257">
        <f t="shared" si="14"/>
        <v>0</v>
      </c>
      <c r="AC28" s="245"/>
      <c r="AD28" s="219"/>
      <c r="AE28" s="241"/>
      <c r="AF28" s="242"/>
      <c r="AG28" s="243"/>
      <c r="AH28" s="242"/>
      <c r="AI28" s="243"/>
      <c r="AJ28" s="242"/>
      <c r="AK28" s="257">
        <f t="shared" si="15"/>
        <v>0</v>
      </c>
      <c r="AL28" s="245"/>
      <c r="AM28" s="219"/>
    </row>
    <row r="29" spans="1:39" ht="63" customHeight="1">
      <c r="A29" s="283" t="s">
        <v>6</v>
      </c>
      <c r="B29" s="284"/>
      <c r="C29" s="26"/>
      <c r="D29" s="232" t="s">
        <v>17</v>
      </c>
      <c r="E29" s="233" t="s">
        <v>23</v>
      </c>
      <c r="F29" s="232" t="s">
        <v>18</v>
      </c>
      <c r="G29" s="233" t="s">
        <v>23</v>
      </c>
      <c r="H29" s="232" t="s">
        <v>19</v>
      </c>
      <c r="I29" s="233" t="s">
        <v>23</v>
      </c>
      <c r="J29" s="234" t="s">
        <v>22</v>
      </c>
      <c r="K29" s="235" t="s">
        <v>24</v>
      </c>
      <c r="L29" s="220"/>
      <c r="M29" s="232" t="s">
        <v>17</v>
      </c>
      <c r="N29" s="233" t="s">
        <v>23</v>
      </c>
      <c r="O29" s="232" t="s">
        <v>18</v>
      </c>
      <c r="P29" s="233" t="s">
        <v>23</v>
      </c>
      <c r="Q29" s="232" t="s">
        <v>19</v>
      </c>
      <c r="R29" s="233" t="s">
        <v>23</v>
      </c>
      <c r="S29" s="234" t="s">
        <v>22</v>
      </c>
      <c r="T29" s="235" t="s">
        <v>24</v>
      </c>
      <c r="U29" s="219"/>
      <c r="V29" s="232" t="s">
        <v>17</v>
      </c>
      <c r="W29" s="233" t="s">
        <v>23</v>
      </c>
      <c r="X29" s="232" t="s">
        <v>18</v>
      </c>
      <c r="Y29" s="233" t="s">
        <v>23</v>
      </c>
      <c r="Z29" s="232" t="s">
        <v>19</v>
      </c>
      <c r="AA29" s="233" t="s">
        <v>23</v>
      </c>
      <c r="AB29" s="234" t="s">
        <v>22</v>
      </c>
      <c r="AC29" s="235" t="s">
        <v>24</v>
      </c>
      <c r="AD29" s="219"/>
      <c r="AE29" s="232" t="s">
        <v>17</v>
      </c>
      <c r="AF29" s="233" t="s">
        <v>23</v>
      </c>
      <c r="AG29" s="232" t="s">
        <v>18</v>
      </c>
      <c r="AH29" s="233" t="s">
        <v>23</v>
      </c>
      <c r="AI29" s="232" t="s">
        <v>19</v>
      </c>
      <c r="AJ29" s="233" t="s">
        <v>23</v>
      </c>
      <c r="AK29" s="234" t="s">
        <v>22</v>
      </c>
      <c r="AL29" s="235" t="s">
        <v>24</v>
      </c>
      <c r="AM29" s="219"/>
    </row>
    <row r="30" spans="1:39" ht="18" customHeight="1">
      <c r="A30" s="33"/>
      <c r="B30" s="13"/>
      <c r="C30" s="15"/>
      <c r="D30" s="258"/>
      <c r="E30" s="259"/>
      <c r="F30" s="254"/>
      <c r="G30" s="255"/>
      <c r="H30" s="254"/>
      <c r="I30" s="255"/>
      <c r="J30" s="257">
        <f>H30+F30+D30</f>
        <v>0</v>
      </c>
      <c r="K30" s="250"/>
      <c r="L30" s="221"/>
      <c r="M30" s="258"/>
      <c r="N30" s="259"/>
      <c r="O30" s="254"/>
      <c r="P30" s="255"/>
      <c r="Q30" s="254"/>
      <c r="R30" s="255"/>
      <c r="S30" s="257">
        <f>Q30+O30+M30</f>
        <v>0</v>
      </c>
      <c r="T30" s="250"/>
      <c r="U30" s="219"/>
      <c r="V30" s="258"/>
      <c r="W30" s="259"/>
      <c r="X30" s="254"/>
      <c r="Y30" s="255"/>
      <c r="Z30" s="254"/>
      <c r="AA30" s="255"/>
      <c r="AB30" s="257">
        <f>Z30+X30+V30</f>
        <v>0</v>
      </c>
      <c r="AC30" s="250"/>
      <c r="AD30" s="219"/>
      <c r="AE30" s="258"/>
      <c r="AF30" s="259"/>
      <c r="AG30" s="254"/>
      <c r="AH30" s="255"/>
      <c r="AI30" s="254"/>
      <c r="AJ30" s="255"/>
      <c r="AK30" s="257">
        <f>AI30+AG30+AE30</f>
        <v>0</v>
      </c>
      <c r="AL30" s="250"/>
      <c r="AM30" s="219"/>
    </row>
    <row r="31" spans="1:39" ht="18" customHeight="1">
      <c r="A31" s="34"/>
      <c r="B31" s="6"/>
      <c r="C31" s="7"/>
      <c r="D31" s="241"/>
      <c r="E31" s="242"/>
      <c r="F31" s="243"/>
      <c r="G31" s="242"/>
      <c r="H31" s="243"/>
      <c r="I31" s="242"/>
      <c r="J31" s="244">
        <f t="shared" ref="J31" si="16">D31+F31+H31</f>
        <v>0</v>
      </c>
      <c r="K31" s="245"/>
      <c r="L31" s="222"/>
      <c r="M31" s="241"/>
      <c r="N31" s="242"/>
      <c r="O31" s="243"/>
      <c r="P31" s="242"/>
      <c r="Q31" s="243"/>
      <c r="R31" s="242"/>
      <c r="S31" s="244">
        <f t="shared" ref="S31" si="17">M31+O31+Q31</f>
        <v>0</v>
      </c>
      <c r="T31" s="245"/>
      <c r="U31" s="219"/>
      <c r="V31" s="241"/>
      <c r="W31" s="242"/>
      <c r="X31" s="243"/>
      <c r="Y31" s="242"/>
      <c r="Z31" s="243"/>
      <c r="AA31" s="242"/>
      <c r="AB31" s="244">
        <f t="shared" ref="AB31" si="18">V31+X31+Z31</f>
        <v>0</v>
      </c>
      <c r="AC31" s="245"/>
      <c r="AD31" s="219"/>
      <c r="AE31" s="241"/>
      <c r="AF31" s="242"/>
      <c r="AG31" s="243"/>
      <c r="AH31" s="242"/>
      <c r="AI31" s="243"/>
      <c r="AJ31" s="242"/>
      <c r="AK31" s="244">
        <f t="shared" ref="AK31" si="19">AE31+AG31+AI31</f>
        <v>0</v>
      </c>
      <c r="AL31" s="245"/>
      <c r="AM31" s="219"/>
    </row>
    <row r="32" spans="1:39" ht="66.25" customHeight="1">
      <c r="A32" s="32" t="s">
        <v>7</v>
      </c>
      <c r="B32" s="26"/>
      <c r="C32" s="26"/>
      <c r="D32" s="232" t="s">
        <v>17</v>
      </c>
      <c r="E32" s="233" t="s">
        <v>23</v>
      </c>
      <c r="F32" s="232" t="s">
        <v>18</v>
      </c>
      <c r="G32" s="233" t="s">
        <v>23</v>
      </c>
      <c r="H32" s="232" t="s">
        <v>19</v>
      </c>
      <c r="I32" s="233" t="s">
        <v>23</v>
      </c>
      <c r="J32" s="234" t="s">
        <v>22</v>
      </c>
      <c r="K32" s="235" t="s">
        <v>24</v>
      </c>
      <c r="L32" s="220"/>
      <c r="M32" s="232" t="s">
        <v>17</v>
      </c>
      <c r="N32" s="233" t="s">
        <v>23</v>
      </c>
      <c r="O32" s="232" t="s">
        <v>18</v>
      </c>
      <c r="P32" s="233" t="s">
        <v>23</v>
      </c>
      <c r="Q32" s="232" t="s">
        <v>19</v>
      </c>
      <c r="R32" s="233" t="s">
        <v>23</v>
      </c>
      <c r="S32" s="234" t="s">
        <v>22</v>
      </c>
      <c r="T32" s="235" t="s">
        <v>24</v>
      </c>
      <c r="U32" s="219"/>
      <c r="V32" s="232" t="s">
        <v>17</v>
      </c>
      <c r="W32" s="233" t="s">
        <v>23</v>
      </c>
      <c r="X32" s="232" t="s">
        <v>18</v>
      </c>
      <c r="Y32" s="233" t="s">
        <v>23</v>
      </c>
      <c r="Z32" s="232" t="s">
        <v>19</v>
      </c>
      <c r="AA32" s="233" t="s">
        <v>23</v>
      </c>
      <c r="AB32" s="234" t="s">
        <v>22</v>
      </c>
      <c r="AC32" s="235" t="s">
        <v>24</v>
      </c>
      <c r="AD32" s="219"/>
      <c r="AE32" s="232" t="s">
        <v>17</v>
      </c>
      <c r="AF32" s="233" t="s">
        <v>23</v>
      </c>
      <c r="AG32" s="232" t="s">
        <v>18</v>
      </c>
      <c r="AH32" s="233" t="s">
        <v>23</v>
      </c>
      <c r="AI32" s="232" t="s">
        <v>19</v>
      </c>
      <c r="AJ32" s="233" t="s">
        <v>23</v>
      </c>
      <c r="AK32" s="234" t="s">
        <v>22</v>
      </c>
      <c r="AL32" s="235" t="s">
        <v>24</v>
      </c>
      <c r="AM32" s="219"/>
    </row>
    <row r="33" spans="1:39" ht="18" customHeight="1">
      <c r="A33" s="183" t="s">
        <v>44</v>
      </c>
      <c r="B33" s="191">
        <v>3366</v>
      </c>
      <c r="C33" s="196" t="s">
        <v>45</v>
      </c>
      <c r="D33" s="246">
        <v>69.783000000000001</v>
      </c>
      <c r="E33" s="247">
        <v>1</v>
      </c>
      <c r="F33" s="248">
        <v>64.423000000000002</v>
      </c>
      <c r="G33" s="247">
        <v>1</v>
      </c>
      <c r="H33" s="248">
        <v>66.817999999999998</v>
      </c>
      <c r="I33" s="247">
        <v>1</v>
      </c>
      <c r="J33" s="257">
        <f t="shared" ref="J33:J38" si="20">D33+F33+H33</f>
        <v>201.024</v>
      </c>
      <c r="K33" s="250" t="s">
        <v>156</v>
      </c>
      <c r="L33" s="221">
        <f>(6*4)+(6*4)+(6*10)</f>
        <v>108</v>
      </c>
      <c r="M33" s="246"/>
      <c r="N33" s="247"/>
      <c r="O33" s="248"/>
      <c r="P33" s="247"/>
      <c r="Q33" s="248"/>
      <c r="R33" s="247"/>
      <c r="S33" s="257">
        <f t="shared" ref="S33:S38" si="21">M33+O33+Q33</f>
        <v>0</v>
      </c>
      <c r="T33" s="250"/>
      <c r="U33" s="219"/>
      <c r="V33" s="256">
        <v>70.44</v>
      </c>
      <c r="W33" s="255">
        <v>1</v>
      </c>
      <c r="X33" s="254">
        <v>71.150000000000006</v>
      </c>
      <c r="Y33" s="255">
        <v>1</v>
      </c>
      <c r="Z33" s="254">
        <v>71.400000000000006</v>
      </c>
      <c r="AA33" s="255">
        <v>1</v>
      </c>
      <c r="AB33" s="257">
        <f t="shared" ref="AB33:AB38" si="22">V33+X33+Z33</f>
        <v>212.99</v>
      </c>
      <c r="AC33" s="250" t="s">
        <v>156</v>
      </c>
      <c r="AD33" s="219">
        <f>18+12+(6*7)</f>
        <v>72</v>
      </c>
      <c r="AE33" s="256">
        <v>60.96</v>
      </c>
      <c r="AF33" s="255">
        <v>1</v>
      </c>
      <c r="AG33" s="254">
        <v>63.41</v>
      </c>
      <c r="AH33" s="255">
        <v>1</v>
      </c>
      <c r="AI33" s="254">
        <v>67.48</v>
      </c>
      <c r="AJ33" s="255">
        <v>4</v>
      </c>
      <c r="AK33" s="257">
        <f t="shared" ref="AK33:AK38" si="23">AE33+AG33+AI33</f>
        <v>191.85000000000002</v>
      </c>
      <c r="AL33" s="250" t="s">
        <v>156</v>
      </c>
      <c r="AM33" s="219">
        <f>12+12+15</f>
        <v>39</v>
      </c>
    </row>
    <row r="34" spans="1:39" ht="18" customHeight="1">
      <c r="A34" s="183" t="s">
        <v>60</v>
      </c>
      <c r="B34" s="191">
        <v>3365</v>
      </c>
      <c r="C34" s="196" t="s">
        <v>43</v>
      </c>
      <c r="D34" s="241">
        <v>60.435000000000002</v>
      </c>
      <c r="E34" s="242">
        <v>4</v>
      </c>
      <c r="F34" s="243">
        <v>57.692</v>
      </c>
      <c r="G34" s="242">
        <v>4</v>
      </c>
      <c r="H34" s="243">
        <v>56.136000000000003</v>
      </c>
      <c r="I34" s="242">
        <v>10</v>
      </c>
      <c r="J34" s="244">
        <f t="shared" si="20"/>
        <v>174.26300000000001</v>
      </c>
      <c r="K34" s="245" t="s">
        <v>155</v>
      </c>
      <c r="L34" s="222">
        <f>(3*4)+(3*4)+(5*2)</f>
        <v>34</v>
      </c>
      <c r="M34" s="241">
        <v>51.521999999999998</v>
      </c>
      <c r="N34" s="242">
        <v>4</v>
      </c>
      <c r="O34" s="243">
        <v>49.423000000000002</v>
      </c>
      <c r="P34" s="242">
        <v>5</v>
      </c>
      <c r="Q34" s="243">
        <v>51.601999999999997</v>
      </c>
      <c r="R34" s="242">
        <v>4</v>
      </c>
      <c r="S34" s="244">
        <f t="shared" si="21"/>
        <v>152.547</v>
      </c>
      <c r="T34" s="245"/>
      <c r="U34" s="219">
        <v>12</v>
      </c>
      <c r="V34" s="241">
        <v>61.304000000000002</v>
      </c>
      <c r="W34" s="242">
        <v>3</v>
      </c>
      <c r="X34" s="243">
        <v>63.01</v>
      </c>
      <c r="Y34" s="242">
        <v>2</v>
      </c>
      <c r="Z34" s="243">
        <v>63.25</v>
      </c>
      <c r="AA34" s="242"/>
      <c r="AB34" s="244">
        <f t="shared" si="22"/>
        <v>187.56399999999999</v>
      </c>
      <c r="AC34" s="245" t="s">
        <v>155</v>
      </c>
      <c r="AD34" s="219">
        <f>12+10</f>
        <v>22</v>
      </c>
      <c r="AE34" s="241"/>
      <c r="AF34" s="242"/>
      <c r="AG34" s="243"/>
      <c r="AH34" s="242"/>
      <c r="AI34" s="243"/>
      <c r="AJ34" s="242"/>
      <c r="AK34" s="244">
        <f t="shared" si="23"/>
        <v>0</v>
      </c>
      <c r="AL34" s="245"/>
      <c r="AM34" s="219"/>
    </row>
    <row r="35" spans="1:39" ht="16.75" customHeight="1">
      <c r="A35" s="183" t="s">
        <v>147</v>
      </c>
      <c r="B35" s="191"/>
      <c r="C35" s="196" t="s">
        <v>148</v>
      </c>
      <c r="D35" s="241">
        <v>68.043000000000006</v>
      </c>
      <c r="E35" s="242">
        <v>2</v>
      </c>
      <c r="F35" s="243">
        <v>63.654000000000003</v>
      </c>
      <c r="G35" s="242">
        <v>2</v>
      </c>
      <c r="H35" s="243"/>
      <c r="I35" s="242"/>
      <c r="J35" s="244">
        <f t="shared" si="20"/>
        <v>131.697</v>
      </c>
      <c r="K35" s="245"/>
      <c r="L35" s="222">
        <f>(5*4)+(5*4)</f>
        <v>40</v>
      </c>
      <c r="M35" s="241"/>
      <c r="N35" s="242"/>
      <c r="O35" s="243"/>
      <c r="P35" s="242"/>
      <c r="Q35" s="243"/>
      <c r="R35" s="242"/>
      <c r="S35" s="244">
        <f t="shared" si="21"/>
        <v>0</v>
      </c>
      <c r="T35" s="245"/>
      <c r="U35" s="219"/>
      <c r="V35" s="241"/>
      <c r="W35" s="242"/>
      <c r="X35" s="243"/>
      <c r="Y35" s="242"/>
      <c r="Z35" s="243"/>
      <c r="AA35" s="242"/>
      <c r="AB35" s="244">
        <f t="shared" si="22"/>
        <v>0</v>
      </c>
      <c r="AC35" s="245"/>
      <c r="AD35" s="219"/>
      <c r="AE35" s="241"/>
      <c r="AF35" s="242"/>
      <c r="AG35" s="243"/>
      <c r="AH35" s="242"/>
      <c r="AI35" s="243"/>
      <c r="AJ35" s="242"/>
      <c r="AK35" s="244">
        <f t="shared" si="23"/>
        <v>0</v>
      </c>
      <c r="AL35" s="245"/>
      <c r="AM35" s="219"/>
    </row>
    <row r="36" spans="1:39" ht="18" customHeight="1">
      <c r="A36" s="183" t="s">
        <v>99</v>
      </c>
      <c r="B36" s="191">
        <v>3365</v>
      </c>
      <c r="C36" s="196" t="s">
        <v>146</v>
      </c>
      <c r="D36" s="241">
        <v>63.695999999999998</v>
      </c>
      <c r="E36" s="242">
        <v>3</v>
      </c>
      <c r="F36" s="243">
        <v>57.884999999999998</v>
      </c>
      <c r="G36" s="242">
        <v>3</v>
      </c>
      <c r="H36" s="243"/>
      <c r="I36" s="242"/>
      <c r="J36" s="244">
        <f t="shared" si="20"/>
        <v>121.58099999999999</v>
      </c>
      <c r="K36" s="245"/>
      <c r="L36" s="222">
        <f>(4*4)+(4*4)</f>
        <v>32</v>
      </c>
      <c r="M36" s="241"/>
      <c r="N36" s="242"/>
      <c r="O36" s="243"/>
      <c r="P36" s="242"/>
      <c r="Q36" s="243"/>
      <c r="R36" s="242"/>
      <c r="S36" s="244">
        <f t="shared" si="21"/>
        <v>0</v>
      </c>
      <c r="T36" s="245"/>
      <c r="U36" s="219"/>
      <c r="V36" s="241"/>
      <c r="W36" s="242"/>
      <c r="X36" s="243"/>
      <c r="Y36" s="242"/>
      <c r="Z36" s="243"/>
      <c r="AA36" s="242"/>
      <c r="AB36" s="244">
        <f t="shared" si="22"/>
        <v>0</v>
      </c>
      <c r="AC36" s="245"/>
      <c r="AD36" s="219"/>
      <c r="AE36" s="241"/>
      <c r="AF36" s="242"/>
      <c r="AG36" s="243"/>
      <c r="AH36" s="242"/>
      <c r="AI36" s="243"/>
      <c r="AJ36" s="242"/>
      <c r="AK36" s="244">
        <f t="shared" si="23"/>
        <v>0</v>
      </c>
      <c r="AL36" s="245"/>
      <c r="AM36" s="219"/>
    </row>
    <row r="37" spans="1:39" ht="16.75" customHeight="1">
      <c r="A37" s="124" t="s">
        <v>188</v>
      </c>
      <c r="B37" s="4">
        <v>3069</v>
      </c>
      <c r="C37" s="5" t="s">
        <v>189</v>
      </c>
      <c r="D37" s="241"/>
      <c r="E37" s="242"/>
      <c r="F37" s="243"/>
      <c r="G37" s="242"/>
      <c r="H37" s="243"/>
      <c r="I37" s="242"/>
      <c r="J37" s="244">
        <f t="shared" si="20"/>
        <v>0</v>
      </c>
      <c r="K37" s="245"/>
      <c r="L37" s="222"/>
      <c r="M37" s="241"/>
      <c r="N37" s="242"/>
      <c r="O37" s="243"/>
      <c r="P37" s="242"/>
      <c r="Q37" s="243"/>
      <c r="R37" s="242"/>
      <c r="S37" s="244">
        <f t="shared" si="21"/>
        <v>0</v>
      </c>
      <c r="T37" s="245"/>
      <c r="U37" s="219"/>
      <c r="V37" s="241">
        <v>63.04</v>
      </c>
      <c r="W37" s="242">
        <v>2</v>
      </c>
      <c r="X37" s="243"/>
      <c r="Y37" s="242"/>
      <c r="Z37" s="243"/>
      <c r="AA37" s="242"/>
      <c r="AB37" s="244">
        <f t="shared" si="22"/>
        <v>63.04</v>
      </c>
      <c r="AC37" s="245"/>
      <c r="AD37" s="219">
        <f>15</f>
        <v>15</v>
      </c>
      <c r="AE37" s="241">
        <v>56.73</v>
      </c>
      <c r="AF37" s="242">
        <v>2</v>
      </c>
      <c r="AG37" s="243">
        <v>54.09</v>
      </c>
      <c r="AH37" s="242">
        <v>2</v>
      </c>
      <c r="AI37" s="243"/>
      <c r="AJ37" s="242"/>
      <c r="AK37" s="244">
        <f t="shared" si="23"/>
        <v>110.82</v>
      </c>
      <c r="AL37" s="245" t="s">
        <v>155</v>
      </c>
      <c r="AM37" s="219">
        <f>10+10</f>
        <v>20</v>
      </c>
    </row>
    <row r="38" spans="1:39" ht="18" customHeight="1">
      <c r="A38" s="125"/>
      <c r="B38" s="6"/>
      <c r="C38" s="7"/>
      <c r="D38" s="241"/>
      <c r="E38" s="242"/>
      <c r="F38" s="243"/>
      <c r="G38" s="242"/>
      <c r="H38" s="243"/>
      <c r="I38" s="242"/>
      <c r="J38" s="244">
        <f t="shared" si="20"/>
        <v>0</v>
      </c>
      <c r="K38" s="245"/>
      <c r="L38" s="222"/>
      <c r="M38" s="241"/>
      <c r="N38" s="242"/>
      <c r="O38" s="243"/>
      <c r="P38" s="242"/>
      <c r="Q38" s="243"/>
      <c r="R38" s="242"/>
      <c r="S38" s="244">
        <f t="shared" si="21"/>
        <v>0</v>
      </c>
      <c r="T38" s="245"/>
      <c r="U38" s="219"/>
      <c r="V38" s="241"/>
      <c r="W38" s="242"/>
      <c r="X38" s="243"/>
      <c r="Y38" s="242"/>
      <c r="Z38" s="243"/>
      <c r="AA38" s="242"/>
      <c r="AB38" s="244">
        <f t="shared" si="22"/>
        <v>0</v>
      </c>
      <c r="AC38" s="245"/>
      <c r="AD38" s="219"/>
      <c r="AE38" s="241"/>
      <c r="AF38" s="242"/>
      <c r="AG38" s="243"/>
      <c r="AH38" s="242"/>
      <c r="AI38" s="243"/>
      <c r="AJ38" s="242"/>
      <c r="AK38" s="244">
        <f t="shared" si="23"/>
        <v>0</v>
      </c>
      <c r="AL38" s="245"/>
      <c r="AM38" s="219"/>
    </row>
    <row r="39" spans="1:39" ht="63.75" customHeight="1">
      <c r="A39" s="197" t="s">
        <v>8</v>
      </c>
      <c r="B39" s="26"/>
      <c r="C39" s="26"/>
      <c r="D39" s="232" t="s">
        <v>153</v>
      </c>
      <c r="E39" s="233" t="s">
        <v>23</v>
      </c>
      <c r="F39" s="232" t="s">
        <v>18</v>
      </c>
      <c r="G39" s="233" t="s">
        <v>23</v>
      </c>
      <c r="H39" s="232" t="s">
        <v>19</v>
      </c>
      <c r="I39" s="233" t="s">
        <v>23</v>
      </c>
      <c r="J39" s="234" t="s">
        <v>22</v>
      </c>
      <c r="K39" s="235" t="s">
        <v>24</v>
      </c>
      <c r="L39" s="220"/>
      <c r="M39" s="232" t="s">
        <v>153</v>
      </c>
      <c r="N39" s="233" t="s">
        <v>23</v>
      </c>
      <c r="O39" s="232" t="s">
        <v>18</v>
      </c>
      <c r="P39" s="233" t="s">
        <v>23</v>
      </c>
      <c r="Q39" s="232" t="s">
        <v>19</v>
      </c>
      <c r="R39" s="233" t="s">
        <v>23</v>
      </c>
      <c r="S39" s="234" t="s">
        <v>22</v>
      </c>
      <c r="T39" s="235" t="s">
        <v>24</v>
      </c>
      <c r="U39" s="219"/>
      <c r="V39" s="232" t="s">
        <v>153</v>
      </c>
      <c r="W39" s="233" t="s">
        <v>23</v>
      </c>
      <c r="X39" s="232" t="s">
        <v>18</v>
      </c>
      <c r="Y39" s="233" t="s">
        <v>23</v>
      </c>
      <c r="Z39" s="232" t="s">
        <v>19</v>
      </c>
      <c r="AA39" s="233" t="s">
        <v>23</v>
      </c>
      <c r="AB39" s="234" t="s">
        <v>22</v>
      </c>
      <c r="AC39" s="235" t="s">
        <v>24</v>
      </c>
      <c r="AD39" s="219"/>
      <c r="AE39" s="232" t="s">
        <v>153</v>
      </c>
      <c r="AF39" s="233" t="s">
        <v>23</v>
      </c>
      <c r="AG39" s="232" t="s">
        <v>18</v>
      </c>
      <c r="AH39" s="233" t="s">
        <v>23</v>
      </c>
      <c r="AI39" s="232" t="s">
        <v>19</v>
      </c>
      <c r="AJ39" s="233" t="s">
        <v>23</v>
      </c>
      <c r="AK39" s="234" t="s">
        <v>22</v>
      </c>
      <c r="AL39" s="235" t="s">
        <v>24</v>
      </c>
      <c r="AM39" s="219"/>
    </row>
    <row r="40" spans="1:39" ht="16.75" customHeight="1">
      <c r="A40" s="185" t="s">
        <v>67</v>
      </c>
      <c r="B40" s="192">
        <v>8001</v>
      </c>
      <c r="C40" s="195" t="s">
        <v>103</v>
      </c>
      <c r="D40" s="246">
        <v>67.174000000000007</v>
      </c>
      <c r="E40" s="247">
        <v>2</v>
      </c>
      <c r="F40" s="248">
        <v>69.037999999999997</v>
      </c>
      <c r="G40" s="247">
        <v>1</v>
      </c>
      <c r="H40" s="248">
        <v>66.364000000000004</v>
      </c>
      <c r="I40" s="247">
        <v>2</v>
      </c>
      <c r="J40" s="257">
        <f t="shared" ref="J40:J47" si="24">D40+F40+H40</f>
        <v>202.57599999999999</v>
      </c>
      <c r="K40" s="250" t="s">
        <v>156</v>
      </c>
      <c r="L40" s="221">
        <f>(5*8)+(6*8)+(5*10)</f>
        <v>138</v>
      </c>
      <c r="M40" s="246"/>
      <c r="N40" s="247"/>
      <c r="O40" s="248"/>
      <c r="P40" s="247"/>
      <c r="Q40" s="248"/>
      <c r="R40" s="247"/>
      <c r="S40" s="257">
        <f t="shared" ref="S40:S49" si="25">M40+O40+Q40</f>
        <v>0</v>
      </c>
      <c r="T40" s="250"/>
      <c r="U40" s="219"/>
      <c r="V40" s="246">
        <v>64.78</v>
      </c>
      <c r="W40" s="247">
        <v>2</v>
      </c>
      <c r="X40" s="248">
        <v>66.73</v>
      </c>
      <c r="Y40" s="247">
        <v>2</v>
      </c>
      <c r="Z40" s="248">
        <v>68.69</v>
      </c>
      <c r="AA40" s="247">
        <v>4</v>
      </c>
      <c r="AB40" s="257">
        <f t="shared" ref="AB40:AB49" si="26">V40+X40+Z40</f>
        <v>200.2</v>
      </c>
      <c r="AC40" s="250" t="s">
        <v>155</v>
      </c>
      <c r="AD40" s="219">
        <f>15+15+21</f>
        <v>51</v>
      </c>
      <c r="AE40" s="246">
        <v>66.150000000000006</v>
      </c>
      <c r="AF40" s="247">
        <v>2</v>
      </c>
      <c r="AG40" s="248">
        <v>65.23</v>
      </c>
      <c r="AH40" s="247">
        <v>1</v>
      </c>
      <c r="AI40" s="248">
        <v>69.77</v>
      </c>
      <c r="AJ40" s="247">
        <v>1</v>
      </c>
      <c r="AK40" s="257">
        <f t="shared" ref="AK40:AK49" si="27">AE40+AG40+AI40</f>
        <v>201.14999999999998</v>
      </c>
      <c r="AL40" s="250" t="s">
        <v>155</v>
      </c>
      <c r="AM40" s="219">
        <f>10+12+30</f>
        <v>52</v>
      </c>
    </row>
    <row r="41" spans="1:39" ht="16.75" customHeight="1">
      <c r="A41" s="185" t="s">
        <v>47</v>
      </c>
      <c r="B41" s="192">
        <v>3266</v>
      </c>
      <c r="C41" s="195" t="s">
        <v>48</v>
      </c>
      <c r="D41" s="241">
        <v>67.825999999999993</v>
      </c>
      <c r="E41" s="242">
        <v>1</v>
      </c>
      <c r="F41" s="243">
        <v>65.769000000000005</v>
      </c>
      <c r="G41" s="242">
        <v>3</v>
      </c>
      <c r="H41" s="243">
        <v>65</v>
      </c>
      <c r="I41" s="252">
        <v>4</v>
      </c>
      <c r="J41" s="257">
        <f t="shared" si="24"/>
        <v>198.595</v>
      </c>
      <c r="K41" s="245" t="s">
        <v>155</v>
      </c>
      <c r="L41" s="222">
        <f>(6*8)+(4*8)+(3*10)</f>
        <v>110</v>
      </c>
      <c r="M41" s="241"/>
      <c r="N41" s="242"/>
      <c r="O41" s="243"/>
      <c r="P41" s="242"/>
      <c r="Q41" s="243"/>
      <c r="R41" s="252"/>
      <c r="S41" s="257">
        <f t="shared" si="25"/>
        <v>0</v>
      </c>
      <c r="T41" s="245"/>
      <c r="U41" s="219"/>
      <c r="V41" s="241">
        <v>71.3</v>
      </c>
      <c r="W41" s="242">
        <v>1</v>
      </c>
      <c r="X41" s="243">
        <v>70.56</v>
      </c>
      <c r="Y41" s="242">
        <v>1</v>
      </c>
      <c r="Z41" s="243">
        <v>69.650000000000006</v>
      </c>
      <c r="AA41" s="252">
        <v>3</v>
      </c>
      <c r="AB41" s="257">
        <f t="shared" si="26"/>
        <v>211.51000000000002</v>
      </c>
      <c r="AC41" s="245" t="s">
        <v>156</v>
      </c>
      <c r="AD41" s="219">
        <f>18+18+(4*7)</f>
        <v>64</v>
      </c>
      <c r="AE41" s="241">
        <v>67.31</v>
      </c>
      <c r="AF41" s="242">
        <v>1</v>
      </c>
      <c r="AG41" s="243">
        <v>65</v>
      </c>
      <c r="AH41" s="242">
        <v>2</v>
      </c>
      <c r="AI41" s="243">
        <v>69.42</v>
      </c>
      <c r="AJ41" s="252">
        <v>2</v>
      </c>
      <c r="AK41" s="257">
        <f t="shared" si="27"/>
        <v>201.73000000000002</v>
      </c>
      <c r="AL41" s="245" t="s">
        <v>156</v>
      </c>
      <c r="AM41" s="219">
        <f>12+10+25</f>
        <v>47</v>
      </c>
    </row>
    <row r="42" spans="1:39" ht="16.75" customHeight="1">
      <c r="A42" s="185" t="s">
        <v>46</v>
      </c>
      <c r="B42" s="192">
        <v>3369</v>
      </c>
      <c r="C42" s="195" t="s">
        <v>61</v>
      </c>
      <c r="D42" s="251">
        <v>66.956999999999994</v>
      </c>
      <c r="E42" s="252">
        <v>3</v>
      </c>
      <c r="F42" s="253">
        <v>61.731000000000002</v>
      </c>
      <c r="G42" s="252">
        <v>4</v>
      </c>
      <c r="H42" s="253">
        <v>64.090999999999994</v>
      </c>
      <c r="I42" s="252">
        <v>5</v>
      </c>
      <c r="J42" s="257">
        <f t="shared" si="24"/>
        <v>192.779</v>
      </c>
      <c r="K42" s="245"/>
      <c r="L42" s="222">
        <f>(4*8)+(3*8)+(2*10)</f>
        <v>76</v>
      </c>
      <c r="M42" s="251"/>
      <c r="N42" s="252"/>
      <c r="O42" s="253"/>
      <c r="P42" s="252"/>
      <c r="Q42" s="253"/>
      <c r="R42" s="252"/>
      <c r="S42" s="257">
        <f t="shared" si="25"/>
        <v>0</v>
      </c>
      <c r="T42" s="245"/>
      <c r="U42" s="219"/>
      <c r="V42" s="251"/>
      <c r="W42" s="252"/>
      <c r="X42" s="253"/>
      <c r="Y42" s="252"/>
      <c r="Z42" s="253"/>
      <c r="AA42" s="252"/>
      <c r="AB42" s="257">
        <f t="shared" si="26"/>
        <v>0</v>
      </c>
      <c r="AC42" s="245"/>
      <c r="AD42" s="219"/>
      <c r="AE42" s="251"/>
      <c r="AF42" s="252"/>
      <c r="AG42" s="253"/>
      <c r="AH42" s="252"/>
      <c r="AI42" s="253"/>
      <c r="AJ42" s="252"/>
      <c r="AK42" s="257">
        <f t="shared" si="27"/>
        <v>0</v>
      </c>
      <c r="AL42" s="245"/>
      <c r="AM42" s="219"/>
    </row>
    <row r="43" spans="1:39" ht="16.75" customHeight="1">
      <c r="A43" s="185" t="s">
        <v>110</v>
      </c>
      <c r="B43" s="192">
        <v>8022</v>
      </c>
      <c r="C43" s="195" t="s">
        <v>135</v>
      </c>
      <c r="D43" s="251">
        <v>65.216999999999999</v>
      </c>
      <c r="E43" s="252">
        <v>4</v>
      </c>
      <c r="F43" s="253">
        <v>59.615000000000002</v>
      </c>
      <c r="G43" s="252">
        <v>6</v>
      </c>
      <c r="H43" s="253">
        <v>60.908999999999999</v>
      </c>
      <c r="I43" s="252">
        <v>6</v>
      </c>
      <c r="J43" s="257">
        <f t="shared" si="24"/>
        <v>185.74099999999999</v>
      </c>
      <c r="K43" s="245"/>
      <c r="L43" s="222">
        <f>(3*8)+(1*8)+(1*10)</f>
        <v>42</v>
      </c>
      <c r="M43" s="251"/>
      <c r="N43" s="252"/>
      <c r="O43" s="253"/>
      <c r="P43" s="252"/>
      <c r="Q43" s="253"/>
      <c r="R43" s="252"/>
      <c r="S43" s="257">
        <f t="shared" si="25"/>
        <v>0</v>
      </c>
      <c r="T43" s="245"/>
      <c r="U43" s="219"/>
      <c r="V43" s="251"/>
      <c r="W43" s="252"/>
      <c r="X43" s="253"/>
      <c r="Y43" s="252"/>
      <c r="Z43" s="253"/>
      <c r="AA43" s="252"/>
      <c r="AB43" s="257">
        <f t="shared" si="26"/>
        <v>0</v>
      </c>
      <c r="AC43" s="245"/>
      <c r="AD43" s="219"/>
      <c r="AE43" s="251"/>
      <c r="AF43" s="252"/>
      <c r="AG43" s="253"/>
      <c r="AH43" s="252"/>
      <c r="AI43" s="253"/>
      <c r="AJ43" s="252"/>
      <c r="AK43" s="257">
        <f t="shared" si="27"/>
        <v>0</v>
      </c>
      <c r="AL43" s="245"/>
      <c r="AM43" s="219"/>
    </row>
    <row r="44" spans="1:39" ht="18" customHeight="1">
      <c r="A44" s="185" t="s">
        <v>96</v>
      </c>
      <c r="B44" s="192">
        <v>8021</v>
      </c>
      <c r="C44" s="195" t="s">
        <v>136</v>
      </c>
      <c r="D44" s="251">
        <v>62.173999999999999</v>
      </c>
      <c r="E44" s="252">
        <v>7</v>
      </c>
      <c r="F44" s="253">
        <v>58.654000000000003</v>
      </c>
      <c r="G44" s="252">
        <v>7</v>
      </c>
      <c r="H44" s="253">
        <v>60.454999999999998</v>
      </c>
      <c r="I44" s="252">
        <v>8</v>
      </c>
      <c r="J44" s="257">
        <f t="shared" si="24"/>
        <v>181.28300000000002</v>
      </c>
      <c r="K44" s="245"/>
      <c r="L44" s="222">
        <v>0</v>
      </c>
      <c r="M44" s="251"/>
      <c r="N44" s="252"/>
      <c r="O44" s="253"/>
      <c r="P44" s="252"/>
      <c r="Q44" s="253"/>
      <c r="R44" s="252"/>
      <c r="S44" s="257">
        <f t="shared" si="25"/>
        <v>0</v>
      </c>
      <c r="T44" s="245"/>
      <c r="U44" s="219"/>
      <c r="V44" s="251"/>
      <c r="W44" s="252"/>
      <c r="X44" s="253"/>
      <c r="Y44" s="252"/>
      <c r="Z44" s="253"/>
      <c r="AA44" s="252"/>
      <c r="AB44" s="257">
        <f t="shared" si="26"/>
        <v>0</v>
      </c>
      <c r="AC44" s="245"/>
      <c r="AD44" s="219"/>
      <c r="AE44" s="251"/>
      <c r="AF44" s="252"/>
      <c r="AG44" s="253"/>
      <c r="AH44" s="252"/>
      <c r="AI44" s="253"/>
      <c r="AJ44" s="252"/>
      <c r="AK44" s="257">
        <f t="shared" si="27"/>
        <v>0</v>
      </c>
      <c r="AL44" s="245"/>
      <c r="AM44" s="219"/>
    </row>
    <row r="45" spans="1:39" ht="18" customHeight="1">
      <c r="A45" s="185" t="s">
        <v>55</v>
      </c>
      <c r="B45" s="192">
        <v>8030</v>
      </c>
      <c r="C45" s="195" t="s">
        <v>144</v>
      </c>
      <c r="D45" s="251">
        <v>65</v>
      </c>
      <c r="E45" s="252">
        <v>5</v>
      </c>
      <c r="F45" s="253">
        <v>68.653999999999996</v>
      </c>
      <c r="G45" s="252">
        <v>2</v>
      </c>
      <c r="H45" s="253"/>
      <c r="I45" s="252"/>
      <c r="J45" s="257">
        <f t="shared" si="24"/>
        <v>133.654</v>
      </c>
      <c r="K45" s="245"/>
      <c r="L45" s="222">
        <f>(2*8)+(5*8)</f>
        <v>56</v>
      </c>
      <c r="M45" s="251"/>
      <c r="N45" s="252"/>
      <c r="O45" s="253"/>
      <c r="P45" s="252"/>
      <c r="Q45" s="253"/>
      <c r="R45" s="252"/>
      <c r="S45" s="257">
        <f t="shared" si="25"/>
        <v>0</v>
      </c>
      <c r="T45" s="245"/>
      <c r="U45" s="219"/>
      <c r="V45" s="251"/>
      <c r="W45" s="252"/>
      <c r="X45" s="253"/>
      <c r="Y45" s="252"/>
      <c r="Z45" s="253"/>
      <c r="AA45" s="252"/>
      <c r="AB45" s="257">
        <f t="shared" si="26"/>
        <v>0</v>
      </c>
      <c r="AC45" s="245"/>
      <c r="AD45" s="219"/>
      <c r="AE45" s="251"/>
      <c r="AF45" s="252"/>
      <c r="AG45" s="253"/>
      <c r="AH45" s="252"/>
      <c r="AI45" s="253"/>
      <c r="AJ45" s="252"/>
      <c r="AK45" s="257">
        <f t="shared" si="27"/>
        <v>0</v>
      </c>
      <c r="AL45" s="245"/>
      <c r="AM45" s="219"/>
    </row>
    <row r="46" spans="1:39" ht="18" customHeight="1">
      <c r="A46" s="185" t="s">
        <v>98</v>
      </c>
      <c r="B46" s="192">
        <v>422</v>
      </c>
      <c r="C46" s="195" t="s">
        <v>145</v>
      </c>
      <c r="D46" s="251">
        <v>63.478000000000002</v>
      </c>
      <c r="E46" s="252">
        <v>6</v>
      </c>
      <c r="F46" s="253">
        <v>60</v>
      </c>
      <c r="G46" s="252">
        <v>5</v>
      </c>
      <c r="H46" s="253"/>
      <c r="I46" s="252"/>
      <c r="J46" s="257">
        <f t="shared" si="24"/>
        <v>123.47800000000001</v>
      </c>
      <c r="K46" s="245"/>
      <c r="L46" s="222">
        <f>(1*8)+(2*8)</f>
        <v>24</v>
      </c>
      <c r="M46" s="251"/>
      <c r="N46" s="252"/>
      <c r="O46" s="253"/>
      <c r="P46" s="252"/>
      <c r="Q46" s="253"/>
      <c r="R46" s="252"/>
      <c r="S46" s="257">
        <f t="shared" si="25"/>
        <v>0</v>
      </c>
      <c r="T46" s="245"/>
      <c r="U46" s="219"/>
      <c r="V46" s="251"/>
      <c r="W46" s="252"/>
      <c r="X46" s="253"/>
      <c r="Y46" s="252"/>
      <c r="Z46" s="253"/>
      <c r="AA46" s="252"/>
      <c r="AB46" s="257">
        <f t="shared" si="26"/>
        <v>0</v>
      </c>
      <c r="AC46" s="245"/>
      <c r="AD46" s="219"/>
      <c r="AE46" s="251"/>
      <c r="AF46" s="252"/>
      <c r="AG46" s="253"/>
      <c r="AH46" s="252"/>
      <c r="AI46" s="253"/>
      <c r="AJ46" s="252"/>
      <c r="AK46" s="257">
        <f t="shared" si="27"/>
        <v>0</v>
      </c>
      <c r="AL46" s="245"/>
      <c r="AM46" s="219"/>
    </row>
    <row r="47" spans="1:39" ht="18" customHeight="1">
      <c r="A47" s="185" t="s">
        <v>51</v>
      </c>
      <c r="B47" s="192">
        <v>3361</v>
      </c>
      <c r="C47" s="195" t="s">
        <v>137</v>
      </c>
      <c r="D47" s="251">
        <v>59.13</v>
      </c>
      <c r="E47" s="252">
        <v>8</v>
      </c>
      <c r="F47" s="253">
        <v>58.268999999999998</v>
      </c>
      <c r="G47" s="252">
        <v>8</v>
      </c>
      <c r="H47" s="253"/>
      <c r="I47" s="252"/>
      <c r="J47" s="257">
        <f t="shared" si="24"/>
        <v>117.399</v>
      </c>
      <c r="K47" s="245"/>
      <c r="L47" s="222">
        <v>0</v>
      </c>
      <c r="M47" s="251"/>
      <c r="N47" s="252"/>
      <c r="O47" s="253"/>
      <c r="P47" s="252"/>
      <c r="Q47" s="253"/>
      <c r="R47" s="252"/>
      <c r="S47" s="257">
        <f t="shared" si="25"/>
        <v>0</v>
      </c>
      <c r="T47" s="245"/>
      <c r="U47" s="219"/>
      <c r="V47" s="251"/>
      <c r="W47" s="252"/>
      <c r="X47" s="253"/>
      <c r="Y47" s="252"/>
      <c r="Z47" s="253"/>
      <c r="AA47" s="252"/>
      <c r="AB47" s="257">
        <f t="shared" si="26"/>
        <v>0</v>
      </c>
      <c r="AC47" s="245"/>
      <c r="AD47" s="219"/>
      <c r="AE47" s="251"/>
      <c r="AF47" s="252"/>
      <c r="AG47" s="253"/>
      <c r="AH47" s="252"/>
      <c r="AI47" s="253"/>
      <c r="AJ47" s="252"/>
      <c r="AK47" s="257">
        <f t="shared" si="27"/>
        <v>0</v>
      </c>
      <c r="AL47" s="245"/>
      <c r="AM47" s="219"/>
    </row>
    <row r="48" spans="1:39" ht="18" customHeight="1">
      <c r="A48" s="185" t="s">
        <v>190</v>
      </c>
      <c r="B48" s="192">
        <v>3227</v>
      </c>
      <c r="C48" s="195" t="s">
        <v>191</v>
      </c>
      <c r="D48" s="251"/>
      <c r="E48" s="252"/>
      <c r="F48" s="253"/>
      <c r="G48" s="252"/>
      <c r="H48" s="253"/>
      <c r="I48" s="252"/>
      <c r="J48" s="257">
        <f t="shared" ref="J48:J49" si="28">D48+F48+H48</f>
        <v>0</v>
      </c>
      <c r="K48" s="245"/>
      <c r="L48" s="222"/>
      <c r="M48" s="251"/>
      <c r="N48" s="252"/>
      <c r="O48" s="253"/>
      <c r="P48" s="252"/>
      <c r="Q48" s="253"/>
      <c r="R48" s="252"/>
      <c r="S48" s="257">
        <f t="shared" si="25"/>
        <v>0</v>
      </c>
      <c r="T48" s="245"/>
      <c r="U48" s="219"/>
      <c r="V48" s="251">
        <v>58.7</v>
      </c>
      <c r="W48" s="252">
        <v>3</v>
      </c>
      <c r="X48" s="253">
        <v>63.65</v>
      </c>
      <c r="Y48" s="252">
        <v>3</v>
      </c>
      <c r="Z48" s="253"/>
      <c r="AA48" s="252"/>
      <c r="AB48" s="257">
        <f t="shared" si="26"/>
        <v>122.35</v>
      </c>
      <c r="AC48" s="245"/>
      <c r="AD48" s="219">
        <f>12+12</f>
        <v>24</v>
      </c>
      <c r="AE48" s="251"/>
      <c r="AF48" s="252"/>
      <c r="AG48" s="253"/>
      <c r="AH48" s="252"/>
      <c r="AI48" s="253"/>
      <c r="AJ48" s="252"/>
      <c r="AK48" s="257">
        <f t="shared" si="27"/>
        <v>0</v>
      </c>
      <c r="AL48" s="245"/>
      <c r="AM48" s="219"/>
    </row>
    <row r="49" spans="1:39" ht="16.75" customHeight="1">
      <c r="A49" s="124"/>
      <c r="B49" s="6"/>
      <c r="C49" s="7"/>
      <c r="D49" s="241"/>
      <c r="E49" s="242"/>
      <c r="F49" s="243"/>
      <c r="G49" s="242"/>
      <c r="H49" s="243"/>
      <c r="I49" s="242"/>
      <c r="J49" s="257">
        <f t="shared" si="28"/>
        <v>0</v>
      </c>
      <c r="K49" s="245"/>
      <c r="L49" s="222"/>
      <c r="M49" s="241"/>
      <c r="N49" s="242"/>
      <c r="O49" s="243"/>
      <c r="P49" s="242"/>
      <c r="Q49" s="243"/>
      <c r="R49" s="242"/>
      <c r="S49" s="257">
        <f t="shared" si="25"/>
        <v>0</v>
      </c>
      <c r="T49" s="245"/>
      <c r="U49" s="219"/>
      <c r="V49" s="241"/>
      <c r="W49" s="242"/>
      <c r="X49" s="243"/>
      <c r="Y49" s="242"/>
      <c r="Z49" s="243"/>
      <c r="AA49" s="242"/>
      <c r="AB49" s="257">
        <f t="shared" si="26"/>
        <v>0</v>
      </c>
      <c r="AC49" s="245"/>
      <c r="AD49" s="219"/>
      <c r="AE49" s="241"/>
      <c r="AF49" s="242"/>
      <c r="AG49" s="243"/>
      <c r="AH49" s="242"/>
      <c r="AI49" s="243"/>
      <c r="AJ49" s="242"/>
      <c r="AK49" s="257">
        <f t="shared" si="27"/>
        <v>0</v>
      </c>
      <c r="AL49" s="245"/>
      <c r="AM49" s="219"/>
    </row>
    <row r="50" spans="1:39" ht="80">
      <c r="A50" s="287" t="s">
        <v>9</v>
      </c>
      <c r="B50" s="288"/>
      <c r="C50" s="26"/>
      <c r="D50" s="232" t="s">
        <v>17</v>
      </c>
      <c r="E50" s="233" t="s">
        <v>23</v>
      </c>
      <c r="F50" s="232" t="s">
        <v>18</v>
      </c>
      <c r="G50" s="233" t="s">
        <v>23</v>
      </c>
      <c r="H50" s="232" t="s">
        <v>19</v>
      </c>
      <c r="I50" s="233" t="s">
        <v>23</v>
      </c>
      <c r="J50" s="234" t="s">
        <v>22</v>
      </c>
      <c r="K50" s="235" t="s">
        <v>24</v>
      </c>
      <c r="L50" s="220"/>
      <c r="M50" s="232" t="s">
        <v>17</v>
      </c>
      <c r="N50" s="233" t="s">
        <v>23</v>
      </c>
      <c r="O50" s="232" t="s">
        <v>18</v>
      </c>
      <c r="P50" s="233" t="s">
        <v>23</v>
      </c>
      <c r="Q50" s="232" t="s">
        <v>19</v>
      </c>
      <c r="R50" s="233" t="s">
        <v>23</v>
      </c>
      <c r="S50" s="234" t="s">
        <v>22</v>
      </c>
      <c r="T50" s="235" t="s">
        <v>24</v>
      </c>
      <c r="U50" s="219"/>
      <c r="V50" s="232" t="s">
        <v>17</v>
      </c>
      <c r="W50" s="233" t="s">
        <v>23</v>
      </c>
      <c r="X50" s="232" t="s">
        <v>18</v>
      </c>
      <c r="Y50" s="233" t="s">
        <v>23</v>
      </c>
      <c r="Z50" s="232" t="s">
        <v>19</v>
      </c>
      <c r="AA50" s="233" t="s">
        <v>23</v>
      </c>
      <c r="AB50" s="234" t="s">
        <v>22</v>
      </c>
      <c r="AC50" s="235" t="s">
        <v>24</v>
      </c>
      <c r="AD50" s="219"/>
      <c r="AE50" s="232" t="s">
        <v>17</v>
      </c>
      <c r="AF50" s="233" t="s">
        <v>23</v>
      </c>
      <c r="AG50" s="232" t="s">
        <v>18</v>
      </c>
      <c r="AH50" s="233" t="s">
        <v>23</v>
      </c>
      <c r="AI50" s="232" t="s">
        <v>19</v>
      </c>
      <c r="AJ50" s="233" t="s">
        <v>23</v>
      </c>
      <c r="AK50" s="234" t="s">
        <v>22</v>
      </c>
      <c r="AL50" s="235" t="s">
        <v>24</v>
      </c>
      <c r="AM50" s="219"/>
    </row>
    <row r="51" spans="1:39" ht="18" customHeight="1">
      <c r="A51" s="202" t="s">
        <v>56</v>
      </c>
      <c r="B51" s="191">
        <v>8028</v>
      </c>
      <c r="C51" s="5" t="s">
        <v>62</v>
      </c>
      <c r="D51" s="256">
        <v>62.173999999999999</v>
      </c>
      <c r="E51" s="255">
        <v>1</v>
      </c>
      <c r="F51" s="254">
        <v>65.576999999999998</v>
      </c>
      <c r="G51" s="255">
        <v>1</v>
      </c>
      <c r="H51" s="254">
        <v>65.454999999999998</v>
      </c>
      <c r="I51" s="255">
        <v>3</v>
      </c>
      <c r="J51" s="257">
        <f>D51+F51+H51</f>
        <v>193.20600000000002</v>
      </c>
      <c r="K51" s="250" t="s">
        <v>156</v>
      </c>
      <c r="L51" s="221">
        <f>(6*4)+(6*4)+(4*10)</f>
        <v>88</v>
      </c>
      <c r="M51" s="256"/>
      <c r="N51" s="255"/>
      <c r="O51" s="254"/>
      <c r="P51" s="255"/>
      <c r="Q51" s="254"/>
      <c r="R51" s="255"/>
      <c r="S51" s="257">
        <f>M51+O51+Q51</f>
        <v>0</v>
      </c>
      <c r="T51" s="250"/>
      <c r="U51" s="219"/>
      <c r="V51" s="256">
        <v>66.52</v>
      </c>
      <c r="W51" s="255">
        <v>2</v>
      </c>
      <c r="X51" s="254">
        <v>71.92</v>
      </c>
      <c r="Y51" s="255">
        <v>1</v>
      </c>
      <c r="Z51" s="254">
        <v>70.25</v>
      </c>
      <c r="AA51" s="255">
        <v>2</v>
      </c>
      <c r="AB51" s="257">
        <f>V51+X51+Z51</f>
        <v>208.69</v>
      </c>
      <c r="AC51" s="250" t="s">
        <v>156</v>
      </c>
      <c r="AD51" s="219">
        <f>25+30+(5*7)</f>
        <v>90</v>
      </c>
      <c r="AE51" s="256">
        <v>66.150000000000006</v>
      </c>
      <c r="AF51" s="255">
        <v>1</v>
      </c>
      <c r="AG51" s="254">
        <v>64.09</v>
      </c>
      <c r="AH51" s="255">
        <v>1</v>
      </c>
      <c r="AI51" s="254">
        <v>67.84</v>
      </c>
      <c r="AJ51" s="255">
        <v>3</v>
      </c>
      <c r="AK51" s="257">
        <f>AE51+AG51+AI51</f>
        <v>198.08</v>
      </c>
      <c r="AL51" s="250" t="s">
        <v>156</v>
      </c>
      <c r="AM51" s="219">
        <f>12+12+20</f>
        <v>44</v>
      </c>
    </row>
    <row r="52" spans="1:39" ht="18" customHeight="1">
      <c r="A52" s="193" t="s">
        <v>49</v>
      </c>
      <c r="B52" s="191">
        <v>3360</v>
      </c>
      <c r="C52" s="7" t="s">
        <v>50</v>
      </c>
      <c r="D52" s="241">
        <v>60.435000000000002</v>
      </c>
      <c r="E52" s="242">
        <v>3</v>
      </c>
      <c r="F52" s="243">
        <v>64.037999999999997</v>
      </c>
      <c r="G52" s="242">
        <v>2</v>
      </c>
      <c r="H52" s="243">
        <v>60.682000000000002</v>
      </c>
      <c r="I52" s="242">
        <v>7</v>
      </c>
      <c r="J52" s="244">
        <f>D52+F52+H52</f>
        <v>185.155</v>
      </c>
      <c r="K52" s="245" t="s">
        <v>155</v>
      </c>
      <c r="L52" s="222">
        <f>(4*4)+(5*4)</f>
        <v>36</v>
      </c>
      <c r="M52" s="241"/>
      <c r="N52" s="242"/>
      <c r="O52" s="243"/>
      <c r="P52" s="242"/>
      <c r="Q52" s="243"/>
      <c r="R52" s="242"/>
      <c r="S52" s="244">
        <f>M52+O52+Q52</f>
        <v>0</v>
      </c>
      <c r="T52" s="245"/>
      <c r="U52" s="219"/>
      <c r="V52" s="241">
        <v>64.569999999999993</v>
      </c>
      <c r="W52" s="242">
        <v>4</v>
      </c>
      <c r="X52" s="243">
        <v>64.03</v>
      </c>
      <c r="Y52" s="242">
        <v>4</v>
      </c>
      <c r="Z52" s="243">
        <v>65.25</v>
      </c>
      <c r="AA52" s="242">
        <v>6</v>
      </c>
      <c r="AB52" s="244">
        <f>V52+X52+Z52</f>
        <v>193.85</v>
      </c>
      <c r="AC52" s="245"/>
      <c r="AD52" s="219">
        <f>15+15+7</f>
        <v>37</v>
      </c>
      <c r="AE52" s="241"/>
      <c r="AF52" s="242"/>
      <c r="AG52" s="243"/>
      <c r="AH52" s="242"/>
      <c r="AI52" s="243"/>
      <c r="AJ52" s="242"/>
      <c r="AK52" s="244">
        <f>AE52+AG52+AI52</f>
        <v>0</v>
      </c>
      <c r="AL52" s="245"/>
      <c r="AM52" s="219"/>
    </row>
    <row r="53" spans="1:39" ht="16.75" customHeight="1">
      <c r="A53" s="194" t="s">
        <v>93</v>
      </c>
      <c r="B53" s="191">
        <v>8016</v>
      </c>
      <c r="C53" s="5" t="s">
        <v>95</v>
      </c>
      <c r="D53" s="241">
        <v>56.738999999999997</v>
      </c>
      <c r="E53" s="242">
        <v>4</v>
      </c>
      <c r="F53" s="243">
        <v>63.076999999999998</v>
      </c>
      <c r="G53" s="242">
        <v>3</v>
      </c>
      <c r="H53" s="243">
        <v>58.863999999999997</v>
      </c>
      <c r="I53" s="242">
        <v>9</v>
      </c>
      <c r="J53" s="244">
        <f>D53+F53+H53</f>
        <v>178.68</v>
      </c>
      <c r="K53" s="245"/>
      <c r="L53" s="222">
        <f>(3*4)+(4*4)</f>
        <v>28</v>
      </c>
      <c r="M53" s="241"/>
      <c r="N53" s="242"/>
      <c r="O53" s="243"/>
      <c r="P53" s="242"/>
      <c r="Q53" s="243"/>
      <c r="R53" s="242"/>
      <c r="S53" s="244">
        <f>M53+O53+Q53</f>
        <v>0</v>
      </c>
      <c r="T53" s="245"/>
      <c r="U53" s="219"/>
      <c r="V53" s="241"/>
      <c r="W53" s="242"/>
      <c r="X53" s="243"/>
      <c r="Y53" s="242"/>
      <c r="Z53" s="243"/>
      <c r="AA53" s="242"/>
      <c r="AB53" s="244">
        <f>V53+X53+Z53</f>
        <v>0</v>
      </c>
      <c r="AC53" s="245"/>
      <c r="AD53" s="219"/>
      <c r="AE53" s="241"/>
      <c r="AF53" s="242"/>
      <c r="AG53" s="243"/>
      <c r="AH53" s="242"/>
      <c r="AI53" s="243"/>
      <c r="AJ53" s="242"/>
      <c r="AK53" s="244">
        <f>AE53+AG53+AI53</f>
        <v>0</v>
      </c>
      <c r="AL53" s="245"/>
      <c r="AM53" s="219"/>
    </row>
    <row r="54" spans="1:39" ht="18" customHeight="1">
      <c r="A54" s="185" t="s">
        <v>92</v>
      </c>
      <c r="B54" s="192">
        <v>3380</v>
      </c>
      <c r="C54" s="11" t="s">
        <v>149</v>
      </c>
      <c r="D54" s="241">
        <v>60.435000000000002</v>
      </c>
      <c r="E54" s="242">
        <v>2</v>
      </c>
      <c r="F54" s="243">
        <v>63.076999999999998</v>
      </c>
      <c r="G54" s="242">
        <v>4</v>
      </c>
      <c r="H54" s="243"/>
      <c r="I54" s="242"/>
      <c r="J54" s="244">
        <f>D54+F54+H54</f>
        <v>123.512</v>
      </c>
      <c r="K54" s="245"/>
      <c r="L54" s="222">
        <f>(5*4)+(3*4)</f>
        <v>32</v>
      </c>
      <c r="M54" s="241"/>
      <c r="N54" s="242"/>
      <c r="O54" s="243"/>
      <c r="P54" s="242"/>
      <c r="Q54" s="243"/>
      <c r="R54" s="242"/>
      <c r="S54" s="244">
        <f>M54+O54+Q54</f>
        <v>0</v>
      </c>
      <c r="T54" s="245"/>
      <c r="U54" s="219"/>
      <c r="V54" s="241">
        <v>65.22</v>
      </c>
      <c r="W54" s="242">
        <v>3</v>
      </c>
      <c r="X54" s="243">
        <v>65.191999999999993</v>
      </c>
      <c r="Y54" s="242">
        <v>3</v>
      </c>
      <c r="Z54" s="243">
        <v>66.900000000000006</v>
      </c>
      <c r="AA54" s="242">
        <v>5</v>
      </c>
      <c r="AB54" s="244">
        <f>V54+X54+Z54</f>
        <v>197.31199999999998</v>
      </c>
      <c r="AC54" s="245" t="s">
        <v>155</v>
      </c>
      <c r="AD54" s="219">
        <f>20+20+(2*7)</f>
        <v>54</v>
      </c>
      <c r="AE54" s="241">
        <v>61.54</v>
      </c>
      <c r="AF54" s="242">
        <v>2</v>
      </c>
      <c r="AG54" s="243">
        <v>59.55</v>
      </c>
      <c r="AH54" s="242">
        <v>2</v>
      </c>
      <c r="AI54" s="243">
        <v>63.1</v>
      </c>
      <c r="AJ54" s="242">
        <v>5</v>
      </c>
      <c r="AK54" s="244">
        <f>AE54+AG54+AI54</f>
        <v>184.19</v>
      </c>
      <c r="AL54" s="245" t="s">
        <v>155</v>
      </c>
      <c r="AM54" s="219">
        <f>10+10+10</f>
        <v>30</v>
      </c>
    </row>
    <row r="55" spans="1:39" ht="18" customHeight="1">
      <c r="A55" s="185" t="s">
        <v>167</v>
      </c>
      <c r="B55" s="192">
        <v>3392</v>
      </c>
      <c r="C55" s="11" t="s">
        <v>168</v>
      </c>
      <c r="D55" s="241"/>
      <c r="E55" s="242"/>
      <c r="F55" s="243"/>
      <c r="G55" s="242"/>
      <c r="H55" s="243"/>
      <c r="I55" s="242"/>
      <c r="J55" s="244">
        <f t="shared" ref="J55:J56" si="29">D55+F55+H55</f>
        <v>0</v>
      </c>
      <c r="K55" s="245"/>
      <c r="L55" s="222"/>
      <c r="M55" s="241">
        <v>66.739000000000004</v>
      </c>
      <c r="N55" s="242">
        <v>2</v>
      </c>
      <c r="O55" s="243">
        <v>63.268999999999998</v>
      </c>
      <c r="P55" s="242">
        <v>2</v>
      </c>
      <c r="Q55" s="243"/>
      <c r="R55" s="242"/>
      <c r="S55" s="244">
        <f t="shared" ref="S55:S56" si="30">M55+O55+Q55</f>
        <v>130.00800000000001</v>
      </c>
      <c r="T55" s="245" t="s">
        <v>155</v>
      </c>
      <c r="U55" s="219">
        <v>20</v>
      </c>
      <c r="V55" s="241"/>
      <c r="W55" s="242"/>
      <c r="X55" s="243"/>
      <c r="Y55" s="242"/>
      <c r="Z55" s="243"/>
      <c r="AA55" s="242"/>
      <c r="AB55" s="244">
        <f t="shared" ref="AB55:AB58" si="31">V55+X55+Z55</f>
        <v>0</v>
      </c>
      <c r="AC55" s="245"/>
      <c r="AD55" s="219"/>
      <c r="AE55" s="241"/>
      <c r="AF55" s="242"/>
      <c r="AG55" s="243"/>
      <c r="AH55" s="242"/>
      <c r="AI55" s="243"/>
      <c r="AJ55" s="242"/>
      <c r="AK55" s="244">
        <f t="shared" ref="AK55:AK58" si="32">AE55+AG55+AI55</f>
        <v>0</v>
      </c>
      <c r="AL55" s="245"/>
      <c r="AM55" s="219"/>
    </row>
    <row r="56" spans="1:39" ht="18" customHeight="1">
      <c r="A56" s="185" t="s">
        <v>167</v>
      </c>
      <c r="B56" s="192">
        <v>3393</v>
      </c>
      <c r="C56" s="11" t="s">
        <v>169</v>
      </c>
      <c r="D56" s="241"/>
      <c r="E56" s="242"/>
      <c r="F56" s="243"/>
      <c r="G56" s="242"/>
      <c r="H56" s="243"/>
      <c r="I56" s="242"/>
      <c r="J56" s="244">
        <f t="shared" si="29"/>
        <v>0</v>
      </c>
      <c r="K56" s="245"/>
      <c r="L56" s="222"/>
      <c r="M56" s="241">
        <v>72.391000000000005</v>
      </c>
      <c r="N56" s="242">
        <v>1</v>
      </c>
      <c r="O56" s="243">
        <v>73.846000000000004</v>
      </c>
      <c r="P56" s="242">
        <v>1</v>
      </c>
      <c r="Q56" s="243"/>
      <c r="R56" s="242"/>
      <c r="S56" s="244">
        <f t="shared" si="30"/>
        <v>146.23700000000002</v>
      </c>
      <c r="T56" s="245" t="s">
        <v>156</v>
      </c>
      <c r="U56" s="219">
        <v>24</v>
      </c>
      <c r="V56" s="241">
        <v>67.819999999999993</v>
      </c>
      <c r="W56" s="242">
        <v>1</v>
      </c>
      <c r="X56" s="243">
        <v>71.34</v>
      </c>
      <c r="Y56" s="242">
        <v>2</v>
      </c>
      <c r="Z56" s="243"/>
      <c r="AA56" s="242"/>
      <c r="AB56" s="244">
        <f t="shared" si="31"/>
        <v>139.16</v>
      </c>
      <c r="AC56" s="245"/>
      <c r="AD56" s="219">
        <f>30+25</f>
        <v>55</v>
      </c>
      <c r="AE56" s="241"/>
      <c r="AF56" s="242"/>
      <c r="AG56" s="243"/>
      <c r="AH56" s="242"/>
      <c r="AI56" s="243"/>
      <c r="AJ56" s="242"/>
      <c r="AK56" s="244">
        <f t="shared" si="32"/>
        <v>0</v>
      </c>
      <c r="AL56" s="245"/>
      <c r="AM56" s="219"/>
    </row>
    <row r="57" spans="1:39" ht="18" customHeight="1">
      <c r="A57" s="185" t="s">
        <v>192</v>
      </c>
      <c r="B57" s="10">
        <v>1775</v>
      </c>
      <c r="C57" s="11" t="s">
        <v>193</v>
      </c>
      <c r="D57" s="241"/>
      <c r="E57" s="242"/>
      <c r="F57" s="243"/>
      <c r="G57" s="242"/>
      <c r="H57" s="243"/>
      <c r="I57" s="242"/>
      <c r="J57" s="244">
        <f t="shared" ref="J57:J58" si="33">D57+F57+H57</f>
        <v>0</v>
      </c>
      <c r="K57" s="245"/>
      <c r="L57" s="222"/>
      <c r="M57" s="241"/>
      <c r="N57" s="242"/>
      <c r="O57" s="243"/>
      <c r="P57" s="242"/>
      <c r="Q57" s="243"/>
      <c r="R57" s="242"/>
      <c r="S57" s="244">
        <f t="shared" ref="S57:S58" si="34">M57+O57+Q57</f>
        <v>0</v>
      </c>
      <c r="T57" s="245"/>
      <c r="U57" s="219"/>
      <c r="V57" s="241">
        <v>57.83</v>
      </c>
      <c r="W57" s="242">
        <v>5</v>
      </c>
      <c r="X57" s="243">
        <v>61.54</v>
      </c>
      <c r="Y57" s="242">
        <v>5</v>
      </c>
      <c r="Z57" s="243"/>
      <c r="AA57" s="242"/>
      <c r="AB57" s="244">
        <f t="shared" si="31"/>
        <v>119.37</v>
      </c>
      <c r="AC57" s="245"/>
      <c r="AD57" s="219">
        <f>10+10</f>
        <v>20</v>
      </c>
      <c r="AE57" s="241"/>
      <c r="AF57" s="242"/>
      <c r="AG57" s="243"/>
      <c r="AH57" s="242"/>
      <c r="AI57" s="243"/>
      <c r="AJ57" s="242"/>
      <c r="AK57" s="244">
        <f t="shared" si="32"/>
        <v>0</v>
      </c>
      <c r="AL57" s="245"/>
      <c r="AM57" s="219"/>
    </row>
    <row r="58" spans="1:39" ht="16.75" customHeight="1">
      <c r="A58" s="126"/>
      <c r="B58" s="10"/>
      <c r="C58" s="11"/>
      <c r="D58" s="241"/>
      <c r="E58" s="242"/>
      <c r="F58" s="243"/>
      <c r="G58" s="242"/>
      <c r="H58" s="243"/>
      <c r="I58" s="242"/>
      <c r="J58" s="257">
        <f t="shared" si="33"/>
        <v>0</v>
      </c>
      <c r="K58" s="245"/>
      <c r="L58" s="222"/>
      <c r="M58" s="241"/>
      <c r="N58" s="242"/>
      <c r="O58" s="243"/>
      <c r="P58" s="242"/>
      <c r="Q58" s="243"/>
      <c r="R58" s="242"/>
      <c r="S58" s="257">
        <f t="shared" si="34"/>
        <v>0</v>
      </c>
      <c r="T58" s="245"/>
      <c r="U58" s="219"/>
      <c r="V58" s="241"/>
      <c r="W58" s="242"/>
      <c r="X58" s="243"/>
      <c r="Y58" s="242"/>
      <c r="Z58" s="243"/>
      <c r="AA58" s="242"/>
      <c r="AB58" s="257">
        <f t="shared" si="31"/>
        <v>0</v>
      </c>
      <c r="AC58" s="245"/>
      <c r="AD58" s="219"/>
      <c r="AE58" s="241"/>
      <c r="AF58" s="242"/>
      <c r="AG58" s="243"/>
      <c r="AH58" s="242"/>
      <c r="AI58" s="243"/>
      <c r="AJ58" s="242"/>
      <c r="AK58" s="257">
        <f t="shared" si="32"/>
        <v>0</v>
      </c>
      <c r="AL58" s="245"/>
      <c r="AM58" s="219"/>
    </row>
    <row r="59" spans="1:39" ht="80">
      <c r="A59" s="283" t="s">
        <v>10</v>
      </c>
      <c r="B59" s="284"/>
      <c r="C59" s="26"/>
      <c r="D59" s="232" t="s">
        <v>17</v>
      </c>
      <c r="E59" s="233" t="s">
        <v>23</v>
      </c>
      <c r="F59" s="232" t="s">
        <v>18</v>
      </c>
      <c r="G59" s="233" t="s">
        <v>23</v>
      </c>
      <c r="H59" s="232" t="s">
        <v>19</v>
      </c>
      <c r="I59" s="233" t="s">
        <v>23</v>
      </c>
      <c r="J59" s="234" t="s">
        <v>22</v>
      </c>
      <c r="K59" s="235" t="s">
        <v>24</v>
      </c>
      <c r="L59" s="220"/>
      <c r="M59" s="232" t="s">
        <v>17</v>
      </c>
      <c r="N59" s="233" t="s">
        <v>23</v>
      </c>
      <c r="O59" s="232" t="s">
        <v>18</v>
      </c>
      <c r="P59" s="233" t="s">
        <v>23</v>
      </c>
      <c r="Q59" s="232" t="s">
        <v>19</v>
      </c>
      <c r="R59" s="233" t="s">
        <v>23</v>
      </c>
      <c r="S59" s="234" t="s">
        <v>22</v>
      </c>
      <c r="T59" s="235" t="s">
        <v>24</v>
      </c>
      <c r="U59" s="219"/>
      <c r="V59" s="232" t="s">
        <v>17</v>
      </c>
      <c r="W59" s="233" t="s">
        <v>23</v>
      </c>
      <c r="X59" s="232" t="s">
        <v>18</v>
      </c>
      <c r="Y59" s="233" t="s">
        <v>23</v>
      </c>
      <c r="Z59" s="232" t="s">
        <v>19</v>
      </c>
      <c r="AA59" s="233" t="s">
        <v>23</v>
      </c>
      <c r="AB59" s="234" t="s">
        <v>22</v>
      </c>
      <c r="AC59" s="235" t="s">
        <v>24</v>
      </c>
      <c r="AD59" s="219"/>
      <c r="AE59" s="232" t="s">
        <v>17</v>
      </c>
      <c r="AF59" s="233" t="s">
        <v>23</v>
      </c>
      <c r="AG59" s="232" t="s">
        <v>18</v>
      </c>
      <c r="AH59" s="233" t="s">
        <v>23</v>
      </c>
      <c r="AI59" s="232" t="s">
        <v>19</v>
      </c>
      <c r="AJ59" s="233" t="s">
        <v>23</v>
      </c>
      <c r="AK59" s="234" t="s">
        <v>22</v>
      </c>
      <c r="AL59" s="235" t="s">
        <v>24</v>
      </c>
      <c r="AM59" s="219"/>
    </row>
    <row r="60" spans="1:39" ht="15">
      <c r="A60" s="190" t="s">
        <v>112</v>
      </c>
      <c r="B60" s="13">
        <v>8006</v>
      </c>
      <c r="C60" s="14" t="s">
        <v>134</v>
      </c>
      <c r="D60" s="256">
        <v>58.912999999999997</v>
      </c>
      <c r="E60" s="255">
        <v>2</v>
      </c>
      <c r="F60" s="254">
        <v>0</v>
      </c>
      <c r="G60" s="255"/>
      <c r="H60" s="254">
        <v>0</v>
      </c>
      <c r="I60" s="255"/>
      <c r="J60" s="257">
        <f t="shared" ref="J60:J62" si="35">D60+F60+H60</f>
        <v>58.912999999999997</v>
      </c>
      <c r="K60" s="260"/>
      <c r="L60" s="225">
        <v>5</v>
      </c>
      <c r="M60" s="256"/>
      <c r="N60" s="255"/>
      <c r="O60" s="254"/>
      <c r="P60" s="255"/>
      <c r="Q60" s="254"/>
      <c r="R60" s="255"/>
      <c r="S60" s="257">
        <f t="shared" ref="S60:S62" si="36">M60+O60+Q60</f>
        <v>0</v>
      </c>
      <c r="T60" s="260"/>
      <c r="U60" s="219"/>
      <c r="V60" s="256"/>
      <c r="W60" s="255"/>
      <c r="X60" s="254"/>
      <c r="Y60" s="255"/>
      <c r="Z60" s="254"/>
      <c r="AA60" s="255"/>
      <c r="AB60" s="257">
        <f t="shared" ref="AB60:AB62" si="37">V60+X60+Z60</f>
        <v>0</v>
      </c>
      <c r="AC60" s="260"/>
      <c r="AD60" s="219"/>
      <c r="AE60" s="256"/>
      <c r="AF60" s="255"/>
      <c r="AG60" s="254"/>
      <c r="AH60" s="255"/>
      <c r="AI60" s="254"/>
      <c r="AJ60" s="255"/>
      <c r="AK60" s="257">
        <f t="shared" ref="AK60:AK62" si="38">AE60+AG60+AI60</f>
        <v>0</v>
      </c>
      <c r="AL60" s="260"/>
      <c r="AM60" s="219"/>
    </row>
    <row r="61" spans="1:39" ht="15">
      <c r="A61" s="33"/>
      <c r="B61" s="13"/>
      <c r="C61" s="14"/>
      <c r="D61" s="256"/>
      <c r="E61" s="255"/>
      <c r="F61" s="254"/>
      <c r="G61" s="255"/>
      <c r="H61" s="254"/>
      <c r="I61" s="255"/>
      <c r="J61" s="257">
        <f t="shared" si="35"/>
        <v>0</v>
      </c>
      <c r="K61" s="260"/>
      <c r="L61" s="226"/>
      <c r="M61" s="256"/>
      <c r="N61" s="255"/>
      <c r="O61" s="254"/>
      <c r="P61" s="255"/>
      <c r="Q61" s="254"/>
      <c r="R61" s="255"/>
      <c r="S61" s="257">
        <f t="shared" si="36"/>
        <v>0</v>
      </c>
      <c r="T61" s="260"/>
      <c r="U61" s="219"/>
      <c r="V61" s="256"/>
      <c r="W61" s="255"/>
      <c r="X61" s="254"/>
      <c r="Y61" s="255"/>
      <c r="Z61" s="254"/>
      <c r="AA61" s="255"/>
      <c r="AB61" s="257">
        <f t="shared" si="37"/>
        <v>0</v>
      </c>
      <c r="AC61" s="260"/>
      <c r="AD61" s="219"/>
      <c r="AE61" s="256"/>
      <c r="AF61" s="255"/>
      <c r="AG61" s="254"/>
      <c r="AH61" s="255"/>
      <c r="AI61" s="254"/>
      <c r="AJ61" s="255"/>
      <c r="AK61" s="257">
        <f t="shared" si="38"/>
        <v>0</v>
      </c>
      <c r="AL61" s="260"/>
      <c r="AM61" s="219"/>
    </row>
    <row r="62" spans="1:39" ht="18" customHeight="1">
      <c r="A62" s="33"/>
      <c r="B62" s="13"/>
      <c r="C62" s="14"/>
      <c r="D62" s="256"/>
      <c r="E62" s="255"/>
      <c r="F62" s="254"/>
      <c r="G62" s="255"/>
      <c r="H62" s="254"/>
      <c r="I62" s="255"/>
      <c r="J62" s="257">
        <f t="shared" si="35"/>
        <v>0</v>
      </c>
      <c r="K62" s="250"/>
      <c r="L62" s="221"/>
      <c r="M62" s="256"/>
      <c r="N62" s="255"/>
      <c r="O62" s="254"/>
      <c r="P62" s="255"/>
      <c r="Q62" s="254"/>
      <c r="R62" s="255"/>
      <c r="S62" s="257">
        <f t="shared" si="36"/>
        <v>0</v>
      </c>
      <c r="T62" s="250"/>
      <c r="U62" s="219"/>
      <c r="V62" s="256"/>
      <c r="W62" s="255"/>
      <c r="X62" s="254"/>
      <c r="Y62" s="255"/>
      <c r="Z62" s="254"/>
      <c r="AA62" s="255"/>
      <c r="AB62" s="257">
        <f t="shared" si="37"/>
        <v>0</v>
      </c>
      <c r="AC62" s="250"/>
      <c r="AD62" s="219"/>
      <c r="AE62" s="256"/>
      <c r="AF62" s="255"/>
      <c r="AG62" s="254"/>
      <c r="AH62" s="255"/>
      <c r="AI62" s="254"/>
      <c r="AJ62" s="255"/>
      <c r="AK62" s="257">
        <f t="shared" si="38"/>
        <v>0</v>
      </c>
      <c r="AL62" s="250"/>
      <c r="AM62" s="219"/>
    </row>
    <row r="63" spans="1:39" ht="80">
      <c r="A63" s="32" t="s">
        <v>11</v>
      </c>
      <c r="B63" s="26"/>
      <c r="C63" s="26"/>
      <c r="D63" s="232" t="s">
        <v>17</v>
      </c>
      <c r="E63" s="233" t="s">
        <v>23</v>
      </c>
      <c r="F63" s="232" t="s">
        <v>18</v>
      </c>
      <c r="G63" s="233" t="s">
        <v>23</v>
      </c>
      <c r="H63" s="232" t="s">
        <v>19</v>
      </c>
      <c r="I63" s="233" t="s">
        <v>23</v>
      </c>
      <c r="J63" s="234" t="s">
        <v>22</v>
      </c>
      <c r="K63" s="235" t="s">
        <v>24</v>
      </c>
      <c r="L63" s="220"/>
      <c r="M63" s="232" t="s">
        <v>17</v>
      </c>
      <c r="N63" s="233" t="s">
        <v>23</v>
      </c>
      <c r="O63" s="232" t="s">
        <v>18</v>
      </c>
      <c r="P63" s="233" t="s">
        <v>23</v>
      </c>
      <c r="Q63" s="232" t="s">
        <v>19</v>
      </c>
      <c r="R63" s="233" t="s">
        <v>23</v>
      </c>
      <c r="S63" s="234" t="s">
        <v>22</v>
      </c>
      <c r="T63" s="235" t="s">
        <v>24</v>
      </c>
      <c r="U63" s="219"/>
      <c r="V63" s="232" t="s">
        <v>17</v>
      </c>
      <c r="W63" s="233" t="s">
        <v>23</v>
      </c>
      <c r="X63" s="232" t="s">
        <v>18</v>
      </c>
      <c r="Y63" s="233" t="s">
        <v>23</v>
      </c>
      <c r="Z63" s="232" t="s">
        <v>19</v>
      </c>
      <c r="AA63" s="233" t="s">
        <v>23</v>
      </c>
      <c r="AB63" s="234" t="s">
        <v>22</v>
      </c>
      <c r="AC63" s="235" t="s">
        <v>24</v>
      </c>
      <c r="AD63" s="219"/>
      <c r="AE63" s="232" t="s">
        <v>17</v>
      </c>
      <c r="AF63" s="233" t="s">
        <v>23</v>
      </c>
      <c r="AG63" s="232" t="s">
        <v>18</v>
      </c>
      <c r="AH63" s="233" t="s">
        <v>23</v>
      </c>
      <c r="AI63" s="232" t="s">
        <v>19</v>
      </c>
      <c r="AJ63" s="233" t="s">
        <v>23</v>
      </c>
      <c r="AK63" s="234" t="s">
        <v>22</v>
      </c>
      <c r="AL63" s="235" t="s">
        <v>24</v>
      </c>
      <c r="AM63" s="219"/>
    </row>
    <row r="64" spans="1:39" ht="18" customHeight="1">
      <c r="A64" s="123" t="s">
        <v>132</v>
      </c>
      <c r="B64" s="10">
        <v>1732</v>
      </c>
      <c r="C64" s="11" t="s">
        <v>133</v>
      </c>
      <c r="D64" s="256">
        <v>70.37</v>
      </c>
      <c r="E64" s="255">
        <v>1</v>
      </c>
      <c r="F64" s="254">
        <v>68.906000000000006</v>
      </c>
      <c r="G64" s="255">
        <v>1</v>
      </c>
      <c r="H64" s="254">
        <v>70.147000000000006</v>
      </c>
      <c r="I64" s="255">
        <v>1</v>
      </c>
      <c r="J64" s="257">
        <f>D64+F64+H64</f>
        <v>209.423</v>
      </c>
      <c r="K64" s="250" t="s">
        <v>154</v>
      </c>
      <c r="L64" s="221">
        <f>(6*5)+(6*4)+(6*5)</f>
        <v>84</v>
      </c>
      <c r="M64" s="256"/>
      <c r="N64" s="255"/>
      <c r="O64" s="254"/>
      <c r="P64" s="255"/>
      <c r="Q64" s="254"/>
      <c r="R64" s="255"/>
      <c r="S64" s="257">
        <f t="shared" ref="S64:S69" si="39">M64+O64+Q64</f>
        <v>0</v>
      </c>
      <c r="T64" s="250"/>
      <c r="U64" s="219"/>
      <c r="V64" s="256"/>
      <c r="W64" s="255"/>
      <c r="X64" s="254"/>
      <c r="Y64" s="255"/>
      <c r="Z64" s="254"/>
      <c r="AA64" s="255"/>
      <c r="AB64" s="257">
        <f t="shared" ref="AB64:AB70" si="40">V64+X64+Z64</f>
        <v>0</v>
      </c>
      <c r="AC64" s="250"/>
      <c r="AD64" s="219"/>
      <c r="AE64" s="256"/>
      <c r="AF64" s="255"/>
      <c r="AG64" s="254"/>
      <c r="AH64" s="255"/>
      <c r="AI64" s="254"/>
      <c r="AJ64" s="255"/>
      <c r="AK64" s="257">
        <f t="shared" ref="AK64:AK70" si="41">AE64+AG64+AI64</f>
        <v>0</v>
      </c>
      <c r="AL64" s="250"/>
      <c r="AM64" s="219"/>
    </row>
    <row r="65" spans="1:39" ht="18" customHeight="1">
      <c r="A65" s="123" t="s">
        <v>132</v>
      </c>
      <c r="B65" s="10">
        <v>1690</v>
      </c>
      <c r="C65" s="11" t="s">
        <v>194</v>
      </c>
      <c r="D65" s="256"/>
      <c r="E65" s="255"/>
      <c r="F65" s="254"/>
      <c r="G65" s="255"/>
      <c r="H65" s="254"/>
      <c r="I65" s="255"/>
      <c r="J65" s="257"/>
      <c r="K65" s="250"/>
      <c r="L65" s="221"/>
      <c r="M65" s="256">
        <v>69.259</v>
      </c>
      <c r="N65" s="255">
        <v>1</v>
      </c>
      <c r="O65" s="254">
        <v>65.938000000000002</v>
      </c>
      <c r="P65" s="255">
        <v>1</v>
      </c>
      <c r="Q65" s="254"/>
      <c r="R65" s="255"/>
      <c r="S65" s="257">
        <f t="shared" si="39"/>
        <v>135.197</v>
      </c>
      <c r="T65" s="250" t="s">
        <v>156</v>
      </c>
      <c r="U65" s="219">
        <v>12</v>
      </c>
      <c r="V65" s="246">
        <v>65.19</v>
      </c>
      <c r="W65" s="247">
        <v>1</v>
      </c>
      <c r="X65" s="248">
        <v>68.91</v>
      </c>
      <c r="Y65" s="247">
        <v>1</v>
      </c>
      <c r="Z65" s="254"/>
      <c r="AA65" s="255"/>
      <c r="AB65" s="257">
        <f t="shared" si="40"/>
        <v>134.1</v>
      </c>
      <c r="AC65" s="250" t="s">
        <v>156</v>
      </c>
      <c r="AD65" s="219">
        <v>12</v>
      </c>
      <c r="AE65" s="246"/>
      <c r="AF65" s="247"/>
      <c r="AG65" s="248"/>
      <c r="AH65" s="247"/>
      <c r="AI65" s="254"/>
      <c r="AJ65" s="255"/>
      <c r="AK65" s="257">
        <f t="shared" si="41"/>
        <v>0</v>
      </c>
      <c r="AL65" s="250"/>
      <c r="AM65" s="219"/>
    </row>
    <row r="66" spans="1:39" ht="18" customHeight="1">
      <c r="A66" s="126" t="s">
        <v>58</v>
      </c>
      <c r="B66" s="10">
        <v>3368</v>
      </c>
      <c r="C66" s="11" t="s">
        <v>57</v>
      </c>
      <c r="D66" s="256">
        <v>57.222000000000001</v>
      </c>
      <c r="E66" s="255">
        <v>5</v>
      </c>
      <c r="F66" s="254">
        <v>61.875</v>
      </c>
      <c r="G66" s="255">
        <v>3</v>
      </c>
      <c r="H66" s="254">
        <v>59.860999999999997</v>
      </c>
      <c r="I66" s="255">
        <v>5</v>
      </c>
      <c r="J66" s="257">
        <f>D66+F66+H66</f>
        <v>178.958</v>
      </c>
      <c r="K66" s="250" t="s">
        <v>155</v>
      </c>
      <c r="L66" s="221">
        <f>(2*5)+(4*4)+(2*5)</f>
        <v>36</v>
      </c>
      <c r="M66" s="256"/>
      <c r="N66" s="255"/>
      <c r="O66" s="254"/>
      <c r="P66" s="255"/>
      <c r="Q66" s="254"/>
      <c r="R66" s="255"/>
      <c r="S66" s="257">
        <f t="shared" si="39"/>
        <v>0</v>
      </c>
      <c r="T66" s="250"/>
      <c r="U66" s="219"/>
      <c r="V66" s="256"/>
      <c r="W66" s="255"/>
      <c r="X66" s="254"/>
      <c r="Y66" s="255"/>
      <c r="Z66" s="254"/>
      <c r="AA66" s="255"/>
      <c r="AB66" s="257">
        <f t="shared" si="40"/>
        <v>0</v>
      </c>
      <c r="AC66" s="250"/>
      <c r="AD66" s="219"/>
      <c r="AE66" s="256"/>
      <c r="AF66" s="255"/>
      <c r="AG66" s="254"/>
      <c r="AH66" s="255"/>
      <c r="AI66" s="254"/>
      <c r="AJ66" s="255"/>
      <c r="AK66" s="257">
        <f t="shared" si="41"/>
        <v>0</v>
      </c>
      <c r="AL66" s="250"/>
      <c r="AM66" s="219"/>
    </row>
    <row r="67" spans="1:39" ht="18" customHeight="1">
      <c r="A67" s="123" t="s">
        <v>151</v>
      </c>
      <c r="B67" s="10">
        <v>1729</v>
      </c>
      <c r="C67" s="11" t="s">
        <v>148</v>
      </c>
      <c r="D67" s="256">
        <v>60.37</v>
      </c>
      <c r="E67" s="255">
        <v>4</v>
      </c>
      <c r="F67" s="254">
        <v>65.156000000000006</v>
      </c>
      <c r="G67" s="255">
        <v>2</v>
      </c>
      <c r="H67" s="254"/>
      <c r="I67" s="255"/>
      <c r="J67" s="257">
        <f>D67+F67+H67</f>
        <v>125.52600000000001</v>
      </c>
      <c r="K67" s="250"/>
      <c r="L67" s="221">
        <f>(3*5)+(5*4)</f>
        <v>35</v>
      </c>
      <c r="M67" s="256"/>
      <c r="N67" s="255"/>
      <c r="O67" s="254"/>
      <c r="P67" s="255"/>
      <c r="Q67" s="254"/>
      <c r="R67" s="255"/>
      <c r="S67" s="257">
        <f t="shared" si="39"/>
        <v>0</v>
      </c>
      <c r="T67" s="250"/>
      <c r="U67" s="219"/>
      <c r="V67" s="256"/>
      <c r="W67" s="255"/>
      <c r="X67" s="254"/>
      <c r="Y67" s="255"/>
      <c r="Z67" s="254"/>
      <c r="AA67" s="255"/>
      <c r="AB67" s="257">
        <f t="shared" si="40"/>
        <v>0</v>
      </c>
      <c r="AC67" s="250"/>
      <c r="AD67" s="219"/>
      <c r="AE67" s="256"/>
      <c r="AF67" s="255"/>
      <c r="AG67" s="254"/>
      <c r="AH67" s="255"/>
      <c r="AI67" s="254"/>
      <c r="AJ67" s="255"/>
      <c r="AK67" s="257">
        <f t="shared" si="41"/>
        <v>0</v>
      </c>
      <c r="AL67" s="250"/>
      <c r="AM67" s="219"/>
    </row>
    <row r="68" spans="1:39" ht="18" customHeight="1">
      <c r="A68" s="123" t="s">
        <v>91</v>
      </c>
      <c r="B68" s="10">
        <v>8031</v>
      </c>
      <c r="C68" s="11" t="s">
        <v>131</v>
      </c>
      <c r="D68" s="256">
        <v>64.073999999999998</v>
      </c>
      <c r="E68" s="255">
        <v>2</v>
      </c>
      <c r="F68" s="254">
        <v>60.625</v>
      </c>
      <c r="G68" s="255">
        <v>4</v>
      </c>
      <c r="H68" s="254"/>
      <c r="I68" s="255"/>
      <c r="J68" s="257">
        <f>D68+F68+H68</f>
        <v>124.699</v>
      </c>
      <c r="K68" s="250"/>
      <c r="L68" s="221">
        <f>(5*5)+(3*4)</f>
        <v>37</v>
      </c>
      <c r="M68" s="256"/>
      <c r="N68" s="255"/>
      <c r="O68" s="254"/>
      <c r="P68" s="255"/>
      <c r="Q68" s="254"/>
      <c r="R68" s="255"/>
      <c r="S68" s="257">
        <f t="shared" si="39"/>
        <v>0</v>
      </c>
      <c r="T68" s="250"/>
      <c r="U68" s="219"/>
      <c r="V68" s="256"/>
      <c r="W68" s="255"/>
      <c r="X68" s="254"/>
      <c r="Y68" s="255"/>
      <c r="Z68" s="254"/>
      <c r="AA68" s="255"/>
      <c r="AB68" s="257">
        <f t="shared" si="40"/>
        <v>0</v>
      </c>
      <c r="AC68" s="250"/>
      <c r="AD68" s="219"/>
      <c r="AE68" s="256"/>
      <c r="AF68" s="255"/>
      <c r="AG68" s="254"/>
      <c r="AH68" s="255"/>
      <c r="AI68" s="254"/>
      <c r="AJ68" s="255"/>
      <c r="AK68" s="257">
        <f t="shared" si="41"/>
        <v>0</v>
      </c>
      <c r="AL68" s="250"/>
      <c r="AM68" s="219"/>
    </row>
    <row r="69" spans="1:39" ht="18" customHeight="1">
      <c r="A69" s="123" t="s">
        <v>152</v>
      </c>
      <c r="B69" s="10">
        <v>8025</v>
      </c>
      <c r="C69" s="11" t="s">
        <v>128</v>
      </c>
      <c r="D69" s="256">
        <v>61.110999999999997</v>
      </c>
      <c r="E69" s="255">
        <v>3</v>
      </c>
      <c r="F69" s="254">
        <v>0</v>
      </c>
      <c r="G69" s="255"/>
      <c r="H69" s="254"/>
      <c r="I69" s="255"/>
      <c r="J69" s="257">
        <f>D69+F69+H69</f>
        <v>61.110999999999997</v>
      </c>
      <c r="K69" s="250"/>
      <c r="L69" s="221">
        <f>(4*5)</f>
        <v>20</v>
      </c>
      <c r="M69" s="256"/>
      <c r="N69" s="255"/>
      <c r="O69" s="254"/>
      <c r="P69" s="255"/>
      <c r="Q69" s="254"/>
      <c r="R69" s="255"/>
      <c r="S69" s="257">
        <f t="shared" si="39"/>
        <v>0</v>
      </c>
      <c r="T69" s="250"/>
      <c r="U69" s="219"/>
      <c r="V69" s="256"/>
      <c r="W69" s="255"/>
      <c r="X69" s="254"/>
      <c r="Y69" s="255"/>
      <c r="Z69" s="254"/>
      <c r="AA69" s="255"/>
      <c r="AB69" s="257">
        <f t="shared" si="40"/>
        <v>0</v>
      </c>
      <c r="AC69" s="250"/>
      <c r="AD69" s="219"/>
      <c r="AE69" s="256"/>
      <c r="AF69" s="255"/>
      <c r="AG69" s="254"/>
      <c r="AH69" s="255"/>
      <c r="AI69" s="254"/>
      <c r="AJ69" s="255"/>
      <c r="AK69" s="257">
        <f t="shared" si="41"/>
        <v>0</v>
      </c>
      <c r="AL69" s="250"/>
      <c r="AM69" s="219"/>
    </row>
    <row r="70" spans="1:39" ht="18" customHeight="1">
      <c r="A70" s="125"/>
      <c r="B70" s="6"/>
      <c r="C70" s="7"/>
      <c r="D70" s="241"/>
      <c r="E70" s="242"/>
      <c r="F70" s="243"/>
      <c r="G70" s="242"/>
      <c r="H70" s="243"/>
      <c r="I70" s="242"/>
      <c r="J70" s="257">
        <f t="shared" ref="J70" si="42">D70+F70+H70</f>
        <v>0</v>
      </c>
      <c r="K70" s="245"/>
      <c r="L70" s="222"/>
      <c r="M70" s="241"/>
      <c r="N70" s="242"/>
      <c r="O70" s="243"/>
      <c r="P70" s="242"/>
      <c r="Q70" s="243"/>
      <c r="R70" s="242"/>
      <c r="S70" s="257">
        <f t="shared" ref="S70" si="43">M70+O70+Q70</f>
        <v>0</v>
      </c>
      <c r="T70" s="245"/>
      <c r="U70" s="219"/>
      <c r="V70" s="241"/>
      <c r="W70" s="242"/>
      <c r="X70" s="243"/>
      <c r="Y70" s="242"/>
      <c r="Z70" s="243"/>
      <c r="AA70" s="242"/>
      <c r="AB70" s="257">
        <f t="shared" si="40"/>
        <v>0</v>
      </c>
      <c r="AC70" s="245"/>
      <c r="AD70" s="219"/>
      <c r="AE70" s="241"/>
      <c r="AF70" s="242"/>
      <c r="AG70" s="243"/>
      <c r="AH70" s="242"/>
      <c r="AI70" s="243"/>
      <c r="AJ70" s="242"/>
      <c r="AK70" s="257">
        <f t="shared" si="41"/>
        <v>0</v>
      </c>
      <c r="AL70" s="245"/>
      <c r="AM70" s="219"/>
    </row>
    <row r="71" spans="1:39" ht="80">
      <c r="A71" s="38" t="s">
        <v>12</v>
      </c>
      <c r="B71" s="27"/>
      <c r="C71" s="27"/>
      <c r="D71" s="261" t="s">
        <v>17</v>
      </c>
      <c r="E71" s="262" t="s">
        <v>23</v>
      </c>
      <c r="F71" s="261" t="s">
        <v>18</v>
      </c>
      <c r="G71" s="262" t="s">
        <v>23</v>
      </c>
      <c r="H71" s="261" t="s">
        <v>19</v>
      </c>
      <c r="I71" s="262" t="s">
        <v>23</v>
      </c>
      <c r="J71" s="263" t="s">
        <v>22</v>
      </c>
      <c r="K71" s="264" t="s">
        <v>24</v>
      </c>
      <c r="L71" s="227"/>
      <c r="M71" s="261" t="s">
        <v>17</v>
      </c>
      <c r="N71" s="262" t="s">
        <v>23</v>
      </c>
      <c r="O71" s="261" t="s">
        <v>18</v>
      </c>
      <c r="P71" s="262" t="s">
        <v>23</v>
      </c>
      <c r="Q71" s="261" t="s">
        <v>19</v>
      </c>
      <c r="R71" s="262" t="s">
        <v>23</v>
      </c>
      <c r="S71" s="263" t="s">
        <v>22</v>
      </c>
      <c r="T71" s="264" t="s">
        <v>24</v>
      </c>
      <c r="U71" s="219"/>
      <c r="V71" s="261" t="s">
        <v>17</v>
      </c>
      <c r="W71" s="262" t="s">
        <v>23</v>
      </c>
      <c r="X71" s="261" t="s">
        <v>18</v>
      </c>
      <c r="Y71" s="262" t="s">
        <v>23</v>
      </c>
      <c r="Z71" s="261" t="s">
        <v>19</v>
      </c>
      <c r="AA71" s="262" t="s">
        <v>23</v>
      </c>
      <c r="AB71" s="263" t="s">
        <v>22</v>
      </c>
      <c r="AC71" s="264" t="s">
        <v>24</v>
      </c>
      <c r="AD71" s="219"/>
      <c r="AE71" s="261" t="s">
        <v>17</v>
      </c>
      <c r="AF71" s="262" t="s">
        <v>23</v>
      </c>
      <c r="AG71" s="261" t="s">
        <v>18</v>
      </c>
      <c r="AH71" s="262" t="s">
        <v>23</v>
      </c>
      <c r="AI71" s="261" t="s">
        <v>19</v>
      </c>
      <c r="AJ71" s="262" t="s">
        <v>23</v>
      </c>
      <c r="AK71" s="263" t="s">
        <v>22</v>
      </c>
      <c r="AL71" s="264" t="s">
        <v>24</v>
      </c>
      <c r="AM71" s="219"/>
    </row>
    <row r="72" spans="1:39" ht="18" customHeight="1">
      <c r="A72" s="123" t="s">
        <v>69</v>
      </c>
      <c r="B72" s="10">
        <v>3379</v>
      </c>
      <c r="C72" s="11" t="s">
        <v>66</v>
      </c>
      <c r="D72" s="246">
        <v>66.111000000000004</v>
      </c>
      <c r="E72" s="247">
        <v>1</v>
      </c>
      <c r="F72" s="248">
        <v>67.813000000000002</v>
      </c>
      <c r="G72" s="247">
        <v>1</v>
      </c>
      <c r="H72" s="248">
        <v>63.194000000000003</v>
      </c>
      <c r="I72" s="247">
        <v>4</v>
      </c>
      <c r="J72" s="257">
        <f>D72+F72+H72</f>
        <v>197.11799999999999</v>
      </c>
      <c r="K72" s="250" t="s">
        <v>156</v>
      </c>
      <c r="L72" s="221">
        <f>(6*4)+(6*4)+(3*5)</f>
        <v>63</v>
      </c>
      <c r="M72" s="246"/>
      <c r="N72" s="247"/>
      <c r="O72" s="248"/>
      <c r="P72" s="247"/>
      <c r="Q72" s="248"/>
      <c r="R72" s="247"/>
      <c r="S72" s="257">
        <f>M72+O72+Q72</f>
        <v>0</v>
      </c>
      <c r="T72" s="250"/>
      <c r="U72" s="219"/>
      <c r="V72" s="246">
        <v>66.11</v>
      </c>
      <c r="W72" s="247">
        <v>4</v>
      </c>
      <c r="X72" s="248">
        <v>67.5</v>
      </c>
      <c r="Y72" s="247">
        <v>3</v>
      </c>
      <c r="Z72" s="248">
        <v>68.75</v>
      </c>
      <c r="AA72" s="247">
        <v>3</v>
      </c>
      <c r="AB72" s="257">
        <f>V72+X72+Z72</f>
        <v>202.36</v>
      </c>
      <c r="AC72" s="250"/>
      <c r="AD72" s="219">
        <f>15+20+20</f>
        <v>55</v>
      </c>
      <c r="AE72" s="246">
        <v>63.59</v>
      </c>
      <c r="AF72" s="247">
        <v>1</v>
      </c>
      <c r="AG72" s="248">
        <v>60.88</v>
      </c>
      <c r="AH72" s="247">
        <v>1</v>
      </c>
      <c r="AI72" s="248">
        <v>67.5</v>
      </c>
      <c r="AJ72" s="247">
        <v>1</v>
      </c>
      <c r="AK72" s="257">
        <f>AE72+AG72+AI72</f>
        <v>191.97</v>
      </c>
      <c r="AL72" s="250" t="s">
        <v>156</v>
      </c>
      <c r="AM72" s="219">
        <f>12+12+12</f>
        <v>36</v>
      </c>
    </row>
    <row r="73" spans="1:39" ht="18" customHeight="1">
      <c r="A73" s="123" t="s">
        <v>64</v>
      </c>
      <c r="B73" s="10">
        <v>3383</v>
      </c>
      <c r="C73" s="11" t="s">
        <v>65</v>
      </c>
      <c r="D73" s="251">
        <v>57.777999999999999</v>
      </c>
      <c r="E73" s="252">
        <v>4</v>
      </c>
      <c r="F73" s="253">
        <v>64.063000000000002</v>
      </c>
      <c r="G73" s="252">
        <v>2</v>
      </c>
      <c r="H73" s="253">
        <v>63.472000000000001</v>
      </c>
      <c r="I73" s="252">
        <v>3</v>
      </c>
      <c r="J73" s="257">
        <f>D73+F73+H73</f>
        <v>185.31300000000002</v>
      </c>
      <c r="K73" s="245" t="s">
        <v>155</v>
      </c>
      <c r="L73" s="222">
        <f>(3*4)+(5*4)+(4*5)</f>
        <v>52</v>
      </c>
      <c r="M73" s="251"/>
      <c r="N73" s="252"/>
      <c r="O73" s="253"/>
      <c r="P73" s="252"/>
      <c r="Q73" s="253"/>
      <c r="R73" s="252"/>
      <c r="S73" s="257">
        <f>M73+O73+Q73</f>
        <v>0</v>
      </c>
      <c r="T73" s="245"/>
      <c r="U73" s="219"/>
      <c r="V73" s="251"/>
      <c r="W73" s="252"/>
      <c r="X73" s="253"/>
      <c r="Y73" s="252"/>
      <c r="Z73" s="253"/>
      <c r="AA73" s="252"/>
      <c r="AB73" s="257">
        <f>V73+X73+Z73</f>
        <v>0</v>
      </c>
      <c r="AC73" s="245"/>
      <c r="AD73" s="219"/>
      <c r="AE73" s="251"/>
      <c r="AF73" s="252"/>
      <c r="AG73" s="253"/>
      <c r="AH73" s="252"/>
      <c r="AI73" s="253"/>
      <c r="AJ73" s="252"/>
      <c r="AK73" s="257">
        <f>AE73+AG73+AI73</f>
        <v>0</v>
      </c>
      <c r="AL73" s="245"/>
      <c r="AM73" s="219"/>
    </row>
    <row r="74" spans="1:39" ht="16.75" customHeight="1">
      <c r="A74" s="123" t="s">
        <v>90</v>
      </c>
      <c r="B74" s="10">
        <v>8012</v>
      </c>
      <c r="C74" s="11" t="s">
        <v>130</v>
      </c>
      <c r="D74" s="251">
        <v>58.889000000000003</v>
      </c>
      <c r="E74" s="252">
        <v>3</v>
      </c>
      <c r="F74" s="253">
        <v>62.344000000000001</v>
      </c>
      <c r="G74" s="252">
        <v>4</v>
      </c>
      <c r="H74" s="253">
        <v>63.610999999999997</v>
      </c>
      <c r="I74" s="252">
        <v>2</v>
      </c>
      <c r="J74" s="257">
        <f>D74+F74+H74</f>
        <v>184.84399999999999</v>
      </c>
      <c r="K74" s="245"/>
      <c r="L74" s="222">
        <f>(4*4)+(3*4)+(5*5)</f>
        <v>53</v>
      </c>
      <c r="M74" s="251"/>
      <c r="N74" s="252"/>
      <c r="O74" s="253">
        <v>51.719000000000001</v>
      </c>
      <c r="P74" s="252">
        <v>4</v>
      </c>
      <c r="Q74" s="253">
        <v>53.75</v>
      </c>
      <c r="R74" s="252">
        <v>4</v>
      </c>
      <c r="S74" s="257">
        <f>M74+O74+Q74</f>
        <v>105.46899999999999</v>
      </c>
      <c r="T74" s="245"/>
      <c r="U74" s="219">
        <f>(3*4)+(3*4)</f>
        <v>24</v>
      </c>
      <c r="V74" s="251">
        <v>65.84</v>
      </c>
      <c r="W74" s="252">
        <v>5</v>
      </c>
      <c r="X74" s="253">
        <v>64.84</v>
      </c>
      <c r="Y74" s="252">
        <v>5</v>
      </c>
      <c r="Z74" s="253">
        <v>59.03</v>
      </c>
      <c r="AA74" s="252">
        <v>5</v>
      </c>
      <c r="AB74" s="257">
        <f>V74+X74+Z74</f>
        <v>189.71</v>
      </c>
      <c r="AC74" s="245"/>
      <c r="AD74" s="219">
        <f>10+10+10</f>
        <v>30</v>
      </c>
      <c r="AE74" s="251"/>
      <c r="AF74" s="252"/>
      <c r="AG74" s="253"/>
      <c r="AH74" s="252"/>
      <c r="AI74" s="253"/>
      <c r="AJ74" s="252"/>
      <c r="AK74" s="257">
        <f>AE74+AG74+AI74</f>
        <v>0</v>
      </c>
      <c r="AL74" s="245"/>
      <c r="AM74" s="219"/>
    </row>
    <row r="75" spans="1:39" ht="18" customHeight="1" outlineLevel="1">
      <c r="A75" s="123" t="s">
        <v>52</v>
      </c>
      <c r="B75" s="10">
        <v>3232</v>
      </c>
      <c r="C75" s="11" t="s">
        <v>53</v>
      </c>
      <c r="D75" s="251">
        <v>63.332999999999998</v>
      </c>
      <c r="E75" s="252">
        <v>2</v>
      </c>
      <c r="F75" s="253">
        <v>63.75</v>
      </c>
      <c r="G75" s="252">
        <v>3</v>
      </c>
      <c r="H75" s="253"/>
      <c r="I75" s="252"/>
      <c r="J75" s="257">
        <f>D75+F75+H75</f>
        <v>127.083</v>
      </c>
      <c r="K75" s="245"/>
      <c r="L75" s="222">
        <f>(5*4)+(4*4)</f>
        <v>36</v>
      </c>
      <c r="M75" s="251"/>
      <c r="N75" s="252"/>
      <c r="O75" s="253"/>
      <c r="P75" s="252"/>
      <c r="Q75" s="253"/>
      <c r="R75" s="252"/>
      <c r="S75" s="257">
        <f>M75+O75+Q75</f>
        <v>0</v>
      </c>
      <c r="T75" s="245"/>
      <c r="U75" s="219"/>
      <c r="V75" s="251"/>
      <c r="W75" s="252"/>
      <c r="X75" s="253"/>
      <c r="Y75" s="252"/>
      <c r="Z75" s="253"/>
      <c r="AA75" s="252"/>
      <c r="AB75" s="257">
        <f>V75+X75+Z75</f>
        <v>0</v>
      </c>
      <c r="AC75" s="245"/>
      <c r="AD75" s="219"/>
      <c r="AE75" s="251"/>
      <c r="AF75" s="252"/>
      <c r="AG75" s="253"/>
      <c r="AH75" s="252"/>
      <c r="AI75" s="253"/>
      <c r="AJ75" s="252"/>
      <c r="AK75" s="257">
        <f>AE75+AG75+AI75</f>
        <v>0</v>
      </c>
      <c r="AL75" s="245"/>
      <c r="AM75" s="219"/>
    </row>
    <row r="76" spans="1:39" ht="18" customHeight="1" outlineLevel="1">
      <c r="A76" s="123" t="s">
        <v>132</v>
      </c>
      <c r="B76" s="10">
        <v>1732</v>
      </c>
      <c r="C76" s="11" t="s">
        <v>170</v>
      </c>
      <c r="D76" s="251"/>
      <c r="E76" s="252"/>
      <c r="F76" s="253"/>
      <c r="G76" s="252"/>
      <c r="H76" s="253"/>
      <c r="I76" s="252"/>
      <c r="J76" s="257">
        <f t="shared" ref="J76:J80" si="44">D76+F76+H76</f>
        <v>0</v>
      </c>
      <c r="K76" s="245"/>
      <c r="L76" s="222"/>
      <c r="M76" s="251">
        <v>73.33</v>
      </c>
      <c r="N76" s="252">
        <v>1</v>
      </c>
      <c r="O76" s="253">
        <v>74.218999999999994</v>
      </c>
      <c r="P76" s="252">
        <v>1</v>
      </c>
      <c r="Q76" s="253">
        <v>70.971999999999994</v>
      </c>
      <c r="R76" s="252">
        <v>1</v>
      </c>
      <c r="S76" s="257">
        <f t="shared" ref="S76:S80" si="45">M76+O76+Q76</f>
        <v>218.52099999999996</v>
      </c>
      <c r="T76" s="245" t="s">
        <v>156</v>
      </c>
      <c r="U76" s="219">
        <f>(6*3)+(6*4)+(6*4)</f>
        <v>66</v>
      </c>
      <c r="V76" s="251">
        <v>69.44</v>
      </c>
      <c r="W76" s="252">
        <v>1</v>
      </c>
      <c r="X76" s="253">
        <v>70.78</v>
      </c>
      <c r="Y76" s="252">
        <v>1</v>
      </c>
      <c r="Z76" s="253">
        <v>71.11</v>
      </c>
      <c r="AA76" s="252">
        <v>2</v>
      </c>
      <c r="AB76" s="257">
        <f t="shared" ref="AB76:AB80" si="46">V76+X76+Z76</f>
        <v>211.32999999999998</v>
      </c>
      <c r="AC76" s="245" t="s">
        <v>156</v>
      </c>
      <c r="AD76" s="219">
        <f>30+30+25</f>
        <v>85</v>
      </c>
      <c r="AE76" s="251"/>
      <c r="AF76" s="252"/>
      <c r="AG76" s="253"/>
      <c r="AH76" s="252"/>
      <c r="AI76" s="253"/>
      <c r="AJ76" s="252"/>
      <c r="AK76" s="257">
        <f t="shared" ref="AK76:AK80" si="47">AE76+AG76+AI76</f>
        <v>0</v>
      </c>
      <c r="AL76" s="245"/>
      <c r="AM76" s="219"/>
    </row>
    <row r="77" spans="1:39" ht="18" customHeight="1" outlineLevel="1">
      <c r="A77" s="123" t="s">
        <v>171</v>
      </c>
      <c r="B77" s="10">
        <v>1685</v>
      </c>
      <c r="C77" s="11" t="s">
        <v>172</v>
      </c>
      <c r="D77" s="251"/>
      <c r="E77" s="252"/>
      <c r="F77" s="253"/>
      <c r="G77" s="252"/>
      <c r="H77" s="253"/>
      <c r="I77" s="252"/>
      <c r="J77" s="257"/>
      <c r="K77" s="245"/>
      <c r="L77" s="222"/>
      <c r="M77" s="251">
        <v>72.406999999999996</v>
      </c>
      <c r="N77" s="252">
        <v>2</v>
      </c>
      <c r="O77" s="253">
        <v>66.563000000000002</v>
      </c>
      <c r="P77" s="252">
        <v>2</v>
      </c>
      <c r="Q77" s="253">
        <v>67.777000000000001</v>
      </c>
      <c r="R77" s="252">
        <v>2</v>
      </c>
      <c r="S77" s="257">
        <f t="shared" si="45"/>
        <v>206.74700000000001</v>
      </c>
      <c r="T77" s="245" t="s">
        <v>155</v>
      </c>
      <c r="U77" s="219">
        <f>(5*3)+(5*4)+(5*4)</f>
        <v>55</v>
      </c>
      <c r="V77" s="251">
        <v>67.41</v>
      </c>
      <c r="W77" s="252">
        <v>2</v>
      </c>
      <c r="X77" s="253">
        <v>68.91</v>
      </c>
      <c r="Y77" s="252">
        <v>2</v>
      </c>
      <c r="Z77" s="253">
        <v>73.47</v>
      </c>
      <c r="AA77" s="252">
        <v>1</v>
      </c>
      <c r="AB77" s="257">
        <f t="shared" si="46"/>
        <v>209.79</v>
      </c>
      <c r="AC77" s="245" t="s">
        <v>155</v>
      </c>
      <c r="AD77" s="219">
        <f>25+25+30</f>
        <v>80</v>
      </c>
      <c r="AE77" s="251"/>
      <c r="AF77" s="252"/>
      <c r="AG77" s="253"/>
      <c r="AH77" s="252"/>
      <c r="AI77" s="253"/>
      <c r="AJ77" s="252"/>
      <c r="AK77" s="257">
        <f t="shared" si="47"/>
        <v>0</v>
      </c>
      <c r="AL77" s="245"/>
      <c r="AM77" s="219"/>
    </row>
    <row r="78" spans="1:39" ht="18" customHeight="1" outlineLevel="1">
      <c r="A78" s="123" t="s">
        <v>173</v>
      </c>
      <c r="B78" s="10">
        <v>3347</v>
      </c>
      <c r="C78" s="11" t="s">
        <v>174</v>
      </c>
      <c r="D78" s="251"/>
      <c r="E78" s="252"/>
      <c r="F78" s="253"/>
      <c r="G78" s="252"/>
      <c r="H78" s="253"/>
      <c r="I78" s="252"/>
      <c r="J78" s="257"/>
      <c r="K78" s="245"/>
      <c r="L78" s="222"/>
      <c r="M78" s="251">
        <v>64.259</v>
      </c>
      <c r="N78" s="252">
        <v>3</v>
      </c>
      <c r="O78" s="253">
        <v>62.813000000000002</v>
      </c>
      <c r="P78" s="252">
        <v>3</v>
      </c>
      <c r="Q78" s="253">
        <v>62.082999999999998</v>
      </c>
      <c r="R78" s="252">
        <v>3</v>
      </c>
      <c r="S78" s="257">
        <f t="shared" si="45"/>
        <v>189.155</v>
      </c>
      <c r="T78" s="245"/>
      <c r="U78" s="219">
        <f>(4*3)+(4*4)+(4*4)</f>
        <v>44</v>
      </c>
      <c r="V78" s="251">
        <v>66.3</v>
      </c>
      <c r="W78" s="252">
        <v>3</v>
      </c>
      <c r="X78" s="253">
        <v>66.09</v>
      </c>
      <c r="Y78" s="252">
        <v>4</v>
      </c>
      <c r="Z78" s="253">
        <v>67.64</v>
      </c>
      <c r="AA78" s="252">
        <v>4</v>
      </c>
      <c r="AB78" s="257">
        <f t="shared" si="46"/>
        <v>200.02999999999997</v>
      </c>
      <c r="AC78" s="245"/>
      <c r="AD78" s="219">
        <f>20+15+15</f>
        <v>50</v>
      </c>
      <c r="AE78" s="251">
        <v>59.53</v>
      </c>
      <c r="AF78" s="252">
        <v>2</v>
      </c>
      <c r="AG78" s="253">
        <v>60.74</v>
      </c>
      <c r="AH78" s="252">
        <v>2</v>
      </c>
      <c r="AI78" s="253">
        <v>65.28</v>
      </c>
      <c r="AJ78" s="252">
        <v>2</v>
      </c>
      <c r="AK78" s="257">
        <f t="shared" si="47"/>
        <v>185.55</v>
      </c>
      <c r="AL78" s="245" t="s">
        <v>155</v>
      </c>
      <c r="AM78" s="219">
        <f>10+10+10</f>
        <v>30</v>
      </c>
    </row>
    <row r="79" spans="1:39" ht="18" customHeight="1">
      <c r="A79" s="126"/>
      <c r="B79" s="10"/>
      <c r="C79" s="11"/>
      <c r="D79" s="251"/>
      <c r="E79" s="252"/>
      <c r="F79" s="253"/>
      <c r="G79" s="252"/>
      <c r="H79" s="253"/>
      <c r="I79" s="252"/>
      <c r="J79" s="257">
        <f t="shared" si="44"/>
        <v>0</v>
      </c>
      <c r="K79" s="245"/>
      <c r="L79" s="222"/>
      <c r="M79" s="251"/>
      <c r="N79" s="252"/>
      <c r="O79" s="253"/>
      <c r="P79" s="252"/>
      <c r="Q79" s="253"/>
      <c r="R79" s="252"/>
      <c r="S79" s="257">
        <f t="shared" si="45"/>
        <v>0</v>
      </c>
      <c r="T79" s="245"/>
      <c r="U79" s="219"/>
      <c r="V79" s="251"/>
      <c r="W79" s="252"/>
      <c r="X79" s="253"/>
      <c r="Y79" s="252"/>
      <c r="Z79" s="253"/>
      <c r="AA79" s="252"/>
      <c r="AB79" s="257">
        <f t="shared" si="46"/>
        <v>0</v>
      </c>
      <c r="AC79" s="245"/>
      <c r="AD79" s="219"/>
      <c r="AE79" s="251"/>
      <c r="AF79" s="252"/>
      <c r="AG79" s="253"/>
      <c r="AH79" s="252"/>
      <c r="AI79" s="253"/>
      <c r="AJ79" s="252"/>
      <c r="AK79" s="257">
        <f t="shared" si="47"/>
        <v>0</v>
      </c>
      <c r="AL79" s="245"/>
      <c r="AM79" s="219"/>
    </row>
    <row r="80" spans="1:39" ht="18" customHeight="1" outlineLevel="1">
      <c r="A80" s="126"/>
      <c r="B80" s="10"/>
      <c r="C80" s="11"/>
      <c r="D80" s="251"/>
      <c r="E80" s="252"/>
      <c r="F80" s="253"/>
      <c r="G80" s="252"/>
      <c r="H80" s="253"/>
      <c r="I80" s="252"/>
      <c r="J80" s="257">
        <f t="shared" si="44"/>
        <v>0</v>
      </c>
      <c r="K80" s="245"/>
      <c r="L80" s="222"/>
      <c r="M80" s="251"/>
      <c r="N80" s="252"/>
      <c r="O80" s="253"/>
      <c r="P80" s="252"/>
      <c r="Q80" s="253"/>
      <c r="R80" s="252"/>
      <c r="S80" s="257">
        <f t="shared" si="45"/>
        <v>0</v>
      </c>
      <c r="T80" s="245"/>
      <c r="U80" s="219"/>
      <c r="V80" s="251"/>
      <c r="W80" s="252"/>
      <c r="X80" s="253"/>
      <c r="Y80" s="252"/>
      <c r="Z80" s="253"/>
      <c r="AA80" s="252"/>
      <c r="AB80" s="257">
        <f t="shared" si="46"/>
        <v>0</v>
      </c>
      <c r="AC80" s="245"/>
      <c r="AD80" s="219"/>
      <c r="AE80" s="251"/>
      <c r="AF80" s="252"/>
      <c r="AG80" s="253"/>
      <c r="AH80" s="252"/>
      <c r="AI80" s="253"/>
      <c r="AJ80" s="252"/>
      <c r="AK80" s="257">
        <f t="shared" si="47"/>
        <v>0</v>
      </c>
      <c r="AL80" s="245"/>
      <c r="AM80" s="219"/>
    </row>
    <row r="81" spans="1:39" ht="80">
      <c r="A81" s="38" t="s">
        <v>13</v>
      </c>
      <c r="B81" s="27"/>
      <c r="C81" s="27"/>
      <c r="D81" s="261" t="s">
        <v>17</v>
      </c>
      <c r="E81" s="262" t="s">
        <v>23</v>
      </c>
      <c r="F81" s="261" t="s">
        <v>18</v>
      </c>
      <c r="G81" s="262" t="s">
        <v>23</v>
      </c>
      <c r="H81" s="261" t="s">
        <v>19</v>
      </c>
      <c r="I81" s="262" t="s">
        <v>23</v>
      </c>
      <c r="J81" s="263" t="s">
        <v>22</v>
      </c>
      <c r="K81" s="264" t="s">
        <v>24</v>
      </c>
      <c r="L81" s="227"/>
      <c r="M81" s="261" t="s">
        <v>17</v>
      </c>
      <c r="N81" s="262" t="s">
        <v>23</v>
      </c>
      <c r="O81" s="261" t="s">
        <v>18</v>
      </c>
      <c r="P81" s="262" t="s">
        <v>23</v>
      </c>
      <c r="Q81" s="261" t="s">
        <v>19</v>
      </c>
      <c r="R81" s="262" t="s">
        <v>23</v>
      </c>
      <c r="S81" s="263" t="s">
        <v>22</v>
      </c>
      <c r="T81" s="264" t="s">
        <v>24</v>
      </c>
      <c r="U81" s="219"/>
      <c r="V81" s="261" t="s">
        <v>17</v>
      </c>
      <c r="W81" s="262" t="s">
        <v>23</v>
      </c>
      <c r="X81" s="261" t="s">
        <v>18</v>
      </c>
      <c r="Y81" s="262" t="s">
        <v>23</v>
      </c>
      <c r="Z81" s="261" t="s">
        <v>19</v>
      </c>
      <c r="AA81" s="262" t="s">
        <v>23</v>
      </c>
      <c r="AB81" s="263" t="s">
        <v>22</v>
      </c>
      <c r="AC81" s="264" t="s">
        <v>24</v>
      </c>
      <c r="AD81" s="219"/>
      <c r="AE81" s="261" t="s">
        <v>17</v>
      </c>
      <c r="AF81" s="262" t="s">
        <v>23</v>
      </c>
      <c r="AG81" s="261" t="s">
        <v>18</v>
      </c>
      <c r="AH81" s="262" t="s">
        <v>23</v>
      </c>
      <c r="AI81" s="261" t="s">
        <v>19</v>
      </c>
      <c r="AJ81" s="262" t="s">
        <v>23</v>
      </c>
      <c r="AK81" s="263" t="s">
        <v>22</v>
      </c>
      <c r="AL81" s="264" t="s">
        <v>24</v>
      </c>
      <c r="AM81" s="219"/>
    </row>
    <row r="82" spans="1:39" ht="18" customHeight="1" outlineLevel="1">
      <c r="A82" s="183" t="s">
        <v>109</v>
      </c>
      <c r="B82" s="189">
        <v>423</v>
      </c>
      <c r="C82" s="188" t="s">
        <v>129</v>
      </c>
      <c r="D82" s="241">
        <v>56.481000000000002</v>
      </c>
      <c r="E82" s="242">
        <v>3</v>
      </c>
      <c r="F82" s="243"/>
      <c r="G82" s="242"/>
      <c r="H82" s="243"/>
      <c r="I82" s="242"/>
      <c r="J82" s="244">
        <f>D82+F82+H82</f>
        <v>56.481000000000002</v>
      </c>
      <c r="K82" s="245"/>
      <c r="L82" s="222">
        <v>4</v>
      </c>
      <c r="M82" s="241"/>
      <c r="N82" s="242"/>
      <c r="O82" s="243"/>
      <c r="P82" s="242"/>
      <c r="Q82" s="243"/>
      <c r="R82" s="242"/>
      <c r="S82" s="244">
        <f>M82+O82+Q82</f>
        <v>0</v>
      </c>
      <c r="T82" s="245"/>
      <c r="U82" s="219"/>
      <c r="V82" s="241"/>
      <c r="W82" s="242"/>
      <c r="X82" s="243"/>
      <c r="Y82" s="242"/>
      <c r="Z82" s="243"/>
      <c r="AA82" s="242"/>
      <c r="AB82" s="244">
        <f>V82+X82+Z82</f>
        <v>0</v>
      </c>
      <c r="AC82" s="245"/>
      <c r="AD82" s="219"/>
      <c r="AE82" s="241"/>
      <c r="AF82" s="242"/>
      <c r="AG82" s="243"/>
      <c r="AH82" s="242"/>
      <c r="AI82" s="243"/>
      <c r="AJ82" s="242"/>
      <c r="AK82" s="244">
        <f>AE82+AG82+AI82</f>
        <v>0</v>
      </c>
      <c r="AL82" s="245"/>
      <c r="AM82" s="219"/>
    </row>
    <row r="83" spans="1:39" ht="18" customHeight="1">
      <c r="A83" s="183" t="s">
        <v>195</v>
      </c>
      <c r="B83" s="191">
        <v>3324</v>
      </c>
      <c r="C83" s="196" t="s">
        <v>196</v>
      </c>
      <c r="D83" s="241"/>
      <c r="E83" s="242"/>
      <c r="F83" s="243"/>
      <c r="G83" s="242"/>
      <c r="H83" s="243"/>
      <c r="I83" s="242"/>
      <c r="J83" s="244">
        <f>D83+F83+H83</f>
        <v>0</v>
      </c>
      <c r="K83" s="245"/>
      <c r="L83" s="222"/>
      <c r="M83" s="241"/>
      <c r="N83" s="242"/>
      <c r="O83" s="243"/>
      <c r="P83" s="242"/>
      <c r="Q83" s="243"/>
      <c r="R83" s="242"/>
      <c r="S83" s="244">
        <f>M83+O83+Q83</f>
        <v>0</v>
      </c>
      <c r="T83" s="245"/>
      <c r="U83" s="219"/>
      <c r="V83" s="251">
        <v>65.930000000000007</v>
      </c>
      <c r="W83" s="252">
        <v>1</v>
      </c>
      <c r="X83" s="253">
        <v>70.78</v>
      </c>
      <c r="Y83" s="252">
        <v>1</v>
      </c>
      <c r="Z83" s="243"/>
      <c r="AA83" s="242"/>
      <c r="AB83" s="244">
        <f>V83+X83+Z83</f>
        <v>136.71</v>
      </c>
      <c r="AC83" s="245" t="s">
        <v>156</v>
      </c>
      <c r="AD83" s="219">
        <v>12</v>
      </c>
      <c r="AE83" s="251"/>
      <c r="AF83" s="252"/>
      <c r="AG83" s="253"/>
      <c r="AH83" s="252"/>
      <c r="AI83" s="243"/>
      <c r="AJ83" s="242"/>
      <c r="AK83" s="244">
        <f>AE83+AG83+AI83</f>
        <v>0</v>
      </c>
      <c r="AL83" s="245"/>
      <c r="AM83" s="219"/>
    </row>
    <row r="84" spans="1:39" ht="18" customHeight="1">
      <c r="A84" s="183" t="s">
        <v>206</v>
      </c>
      <c r="B84" s="191">
        <v>3225</v>
      </c>
      <c r="C84" s="196" t="s">
        <v>207</v>
      </c>
      <c r="D84" s="241"/>
      <c r="E84" s="242"/>
      <c r="F84" s="243"/>
      <c r="G84" s="242"/>
      <c r="H84" s="243"/>
      <c r="I84" s="242"/>
      <c r="J84" s="244"/>
      <c r="K84" s="245"/>
      <c r="L84" s="222"/>
      <c r="M84" s="241"/>
      <c r="N84" s="242"/>
      <c r="O84" s="243"/>
      <c r="P84" s="242"/>
      <c r="Q84" s="243"/>
      <c r="R84" s="242"/>
      <c r="S84" s="244"/>
      <c r="T84" s="245"/>
      <c r="U84" s="219"/>
      <c r="V84" s="251"/>
      <c r="W84" s="252"/>
      <c r="X84" s="253"/>
      <c r="Y84" s="252"/>
      <c r="Z84" s="243"/>
      <c r="AA84" s="242"/>
      <c r="AB84" s="244"/>
      <c r="AC84" s="245"/>
      <c r="AD84" s="219"/>
      <c r="AE84" s="251">
        <v>54.06</v>
      </c>
      <c r="AF84" s="252">
        <v>3</v>
      </c>
      <c r="AG84" s="253">
        <v>56.03</v>
      </c>
      <c r="AH84" s="252">
        <v>3</v>
      </c>
      <c r="AI84" s="243"/>
      <c r="AJ84" s="242"/>
      <c r="AK84" s="244">
        <f t="shared" ref="AK84:AK85" si="48">AE84+AG84+AI84</f>
        <v>110.09</v>
      </c>
      <c r="AL84" s="245"/>
      <c r="AM84" s="219">
        <f>12+12</f>
        <v>24</v>
      </c>
    </row>
    <row r="85" spans="1:39" ht="18" customHeight="1">
      <c r="A85" s="183" t="s">
        <v>208</v>
      </c>
      <c r="B85" s="191">
        <v>3169</v>
      </c>
      <c r="C85" s="196" t="s">
        <v>209</v>
      </c>
      <c r="D85" s="241"/>
      <c r="E85" s="242"/>
      <c r="F85" s="243"/>
      <c r="G85" s="242"/>
      <c r="H85" s="243"/>
      <c r="I85" s="242"/>
      <c r="J85" s="244"/>
      <c r="K85" s="245"/>
      <c r="L85" s="222"/>
      <c r="M85" s="241"/>
      <c r="N85" s="242"/>
      <c r="O85" s="243"/>
      <c r="P85" s="242"/>
      <c r="Q85" s="243"/>
      <c r="R85" s="242"/>
      <c r="S85" s="244"/>
      <c r="T85" s="245"/>
      <c r="U85" s="219"/>
      <c r="V85" s="251"/>
      <c r="W85" s="252"/>
      <c r="X85" s="253"/>
      <c r="Y85" s="252"/>
      <c r="Z85" s="243"/>
      <c r="AA85" s="242"/>
      <c r="AB85" s="244"/>
      <c r="AC85" s="245"/>
      <c r="AD85" s="219"/>
      <c r="AE85" s="251">
        <v>54.84</v>
      </c>
      <c r="AF85" s="252">
        <v>2</v>
      </c>
      <c r="AG85" s="253">
        <v>56.76</v>
      </c>
      <c r="AH85" s="252">
        <v>2</v>
      </c>
      <c r="AI85" s="243"/>
      <c r="AJ85" s="242"/>
      <c r="AK85" s="244">
        <f t="shared" si="48"/>
        <v>111.6</v>
      </c>
      <c r="AL85" s="245" t="s">
        <v>155</v>
      </c>
      <c r="AM85" s="219">
        <f>15+15</f>
        <v>30</v>
      </c>
    </row>
    <row r="86" spans="1:39" ht="18" customHeight="1" outlineLevel="1">
      <c r="A86" s="183" t="s">
        <v>210</v>
      </c>
      <c r="B86" s="191">
        <v>1789</v>
      </c>
      <c r="C86" s="196" t="s">
        <v>211</v>
      </c>
      <c r="D86" s="241"/>
      <c r="E86" s="242"/>
      <c r="F86" s="243"/>
      <c r="G86" s="242"/>
      <c r="H86" s="243"/>
      <c r="I86" s="242"/>
      <c r="J86" s="244">
        <f>D86+F86+H86</f>
        <v>0</v>
      </c>
      <c r="K86" s="245"/>
      <c r="L86" s="222"/>
      <c r="M86" s="241"/>
      <c r="N86" s="242"/>
      <c r="O86" s="243"/>
      <c r="P86" s="242"/>
      <c r="Q86" s="243"/>
      <c r="R86" s="242"/>
      <c r="S86" s="244">
        <f>M86+O86+Q86</f>
        <v>0</v>
      </c>
      <c r="T86" s="245"/>
      <c r="U86" s="219"/>
      <c r="V86" s="241"/>
      <c r="W86" s="242"/>
      <c r="X86" s="243"/>
      <c r="Y86" s="242"/>
      <c r="Z86" s="243"/>
      <c r="AA86" s="242"/>
      <c r="AB86" s="244">
        <f>V86+X86+Z86</f>
        <v>0</v>
      </c>
      <c r="AC86" s="245"/>
      <c r="AD86" s="219"/>
      <c r="AE86" s="241">
        <v>58.91</v>
      </c>
      <c r="AF86" s="242">
        <v>1</v>
      </c>
      <c r="AG86" s="243">
        <v>59.41</v>
      </c>
      <c r="AH86" s="242">
        <v>1</v>
      </c>
      <c r="AI86" s="243"/>
      <c r="AJ86" s="242"/>
      <c r="AK86" s="244">
        <f>AE86+AG86+AI86</f>
        <v>118.32</v>
      </c>
      <c r="AL86" s="245" t="s">
        <v>156</v>
      </c>
      <c r="AM86" s="219">
        <f>18+18</f>
        <v>36</v>
      </c>
    </row>
    <row r="87" spans="1:39" ht="60" customHeight="1">
      <c r="A87" s="285" t="s">
        <v>14</v>
      </c>
      <c r="B87" s="286"/>
      <c r="C87" s="27"/>
      <c r="D87" s="261" t="s">
        <v>17</v>
      </c>
      <c r="E87" s="262" t="s">
        <v>23</v>
      </c>
      <c r="F87" s="261" t="s">
        <v>18</v>
      </c>
      <c r="G87" s="262" t="s">
        <v>23</v>
      </c>
      <c r="H87" s="261" t="s">
        <v>19</v>
      </c>
      <c r="I87" s="262" t="s">
        <v>23</v>
      </c>
      <c r="J87" s="263" t="s">
        <v>22</v>
      </c>
      <c r="K87" s="264" t="s">
        <v>24</v>
      </c>
      <c r="L87" s="227"/>
      <c r="M87" s="261" t="s">
        <v>17</v>
      </c>
      <c r="N87" s="262" t="s">
        <v>23</v>
      </c>
      <c r="O87" s="261" t="s">
        <v>18</v>
      </c>
      <c r="P87" s="262" t="s">
        <v>23</v>
      </c>
      <c r="Q87" s="261" t="s">
        <v>19</v>
      </c>
      <c r="R87" s="262" t="s">
        <v>23</v>
      </c>
      <c r="S87" s="263" t="s">
        <v>22</v>
      </c>
      <c r="T87" s="264" t="s">
        <v>24</v>
      </c>
      <c r="U87" s="219"/>
      <c r="V87" s="261" t="s">
        <v>17</v>
      </c>
      <c r="W87" s="262" t="s">
        <v>23</v>
      </c>
      <c r="X87" s="261" t="s">
        <v>18</v>
      </c>
      <c r="Y87" s="262" t="s">
        <v>23</v>
      </c>
      <c r="Z87" s="261" t="s">
        <v>19</v>
      </c>
      <c r="AA87" s="262" t="s">
        <v>23</v>
      </c>
      <c r="AB87" s="263" t="s">
        <v>22</v>
      </c>
      <c r="AC87" s="264" t="s">
        <v>24</v>
      </c>
      <c r="AD87" s="219"/>
      <c r="AE87" s="261" t="s">
        <v>17</v>
      </c>
      <c r="AF87" s="262" t="s">
        <v>23</v>
      </c>
      <c r="AG87" s="261" t="s">
        <v>18</v>
      </c>
      <c r="AH87" s="262" t="s">
        <v>23</v>
      </c>
      <c r="AI87" s="261" t="s">
        <v>19</v>
      </c>
      <c r="AJ87" s="262" t="s">
        <v>23</v>
      </c>
      <c r="AK87" s="263" t="s">
        <v>22</v>
      </c>
      <c r="AL87" s="264" t="s">
        <v>24</v>
      </c>
      <c r="AM87" s="219"/>
    </row>
    <row r="88" spans="1:39" ht="18" customHeight="1">
      <c r="A88" s="35"/>
      <c r="B88" s="10"/>
      <c r="C88" s="11"/>
      <c r="D88" s="256"/>
      <c r="E88" s="255"/>
      <c r="F88" s="254"/>
      <c r="G88" s="255"/>
      <c r="H88" s="254"/>
      <c r="I88" s="255"/>
      <c r="J88" s="257">
        <f t="shared" ref="J88" si="49">D88+F88+H88</f>
        <v>0</v>
      </c>
      <c r="K88" s="250"/>
      <c r="L88" s="221"/>
      <c r="M88" s="256"/>
      <c r="N88" s="255"/>
      <c r="O88" s="254"/>
      <c r="P88" s="255"/>
      <c r="Q88" s="254"/>
      <c r="R88" s="255"/>
      <c r="S88" s="257">
        <f t="shared" ref="S88:S89" si="50">M88+O88+Q88</f>
        <v>0</v>
      </c>
      <c r="T88" s="250"/>
      <c r="U88" s="219"/>
      <c r="V88" s="256"/>
      <c r="W88" s="255"/>
      <c r="X88" s="254"/>
      <c r="Y88" s="255"/>
      <c r="Z88" s="254"/>
      <c r="AA88" s="255"/>
      <c r="AB88" s="257">
        <f t="shared" ref="AB88:AB89" si="51">V88+X88+Z88</f>
        <v>0</v>
      </c>
      <c r="AC88" s="250"/>
      <c r="AD88" s="219"/>
      <c r="AE88" s="256"/>
      <c r="AF88" s="255"/>
      <c r="AG88" s="254"/>
      <c r="AH88" s="255"/>
      <c r="AI88" s="254"/>
      <c r="AJ88" s="255"/>
      <c r="AK88" s="257">
        <f t="shared" ref="AK88:AK89" si="52">AE88+AG88+AI88</f>
        <v>0</v>
      </c>
      <c r="AL88" s="250"/>
      <c r="AM88" s="219"/>
    </row>
    <row r="89" spans="1:39" ht="18" customHeight="1">
      <c r="A89" s="35"/>
      <c r="B89" s="10"/>
      <c r="C89" s="11"/>
      <c r="D89" s="256"/>
      <c r="E89" s="255"/>
      <c r="F89" s="254"/>
      <c r="G89" s="255"/>
      <c r="H89" s="254"/>
      <c r="I89" s="255"/>
      <c r="J89" s="257">
        <f t="shared" ref="J89" si="53">D89+F89+H89</f>
        <v>0</v>
      </c>
      <c r="K89" s="265"/>
      <c r="L89" s="228"/>
      <c r="M89" s="256"/>
      <c r="N89" s="255"/>
      <c r="O89" s="254"/>
      <c r="P89" s="255"/>
      <c r="Q89" s="254"/>
      <c r="R89" s="255"/>
      <c r="S89" s="257">
        <f t="shared" si="50"/>
        <v>0</v>
      </c>
      <c r="T89" s="265"/>
      <c r="U89" s="219"/>
      <c r="V89" s="256"/>
      <c r="W89" s="255"/>
      <c r="X89" s="254"/>
      <c r="Y89" s="255"/>
      <c r="Z89" s="254"/>
      <c r="AA89" s="255"/>
      <c r="AB89" s="257">
        <f t="shared" si="51"/>
        <v>0</v>
      </c>
      <c r="AC89" s="265"/>
      <c r="AD89" s="219"/>
      <c r="AE89" s="256"/>
      <c r="AF89" s="255"/>
      <c r="AG89" s="254"/>
      <c r="AH89" s="255"/>
      <c r="AI89" s="254"/>
      <c r="AJ89" s="255"/>
      <c r="AK89" s="257">
        <f t="shared" si="52"/>
        <v>0</v>
      </c>
      <c r="AL89" s="265"/>
      <c r="AM89" s="219"/>
    </row>
    <row r="90" spans="1:39" ht="80">
      <c r="A90" s="285" t="s">
        <v>15</v>
      </c>
      <c r="B90" s="286"/>
      <c r="C90" s="27"/>
      <c r="D90" s="261" t="s">
        <v>17</v>
      </c>
      <c r="E90" s="262" t="s">
        <v>23</v>
      </c>
      <c r="F90" s="261" t="s">
        <v>18</v>
      </c>
      <c r="G90" s="262" t="s">
        <v>23</v>
      </c>
      <c r="H90" s="261" t="s">
        <v>19</v>
      </c>
      <c r="I90" s="262" t="s">
        <v>23</v>
      </c>
      <c r="J90" s="263" t="s">
        <v>22</v>
      </c>
      <c r="K90" s="264" t="s">
        <v>24</v>
      </c>
      <c r="L90" s="227"/>
      <c r="M90" s="261" t="s">
        <v>17</v>
      </c>
      <c r="N90" s="262" t="s">
        <v>23</v>
      </c>
      <c r="O90" s="261" t="s">
        <v>18</v>
      </c>
      <c r="P90" s="262" t="s">
        <v>23</v>
      </c>
      <c r="Q90" s="261" t="s">
        <v>19</v>
      </c>
      <c r="R90" s="262" t="s">
        <v>23</v>
      </c>
      <c r="S90" s="263" t="s">
        <v>22</v>
      </c>
      <c r="T90" s="264" t="s">
        <v>24</v>
      </c>
      <c r="U90" s="219"/>
      <c r="V90" s="261" t="s">
        <v>17</v>
      </c>
      <c r="W90" s="262" t="s">
        <v>23</v>
      </c>
      <c r="X90" s="261" t="s">
        <v>18</v>
      </c>
      <c r="Y90" s="262" t="s">
        <v>23</v>
      </c>
      <c r="Z90" s="261" t="s">
        <v>19</v>
      </c>
      <c r="AA90" s="262" t="s">
        <v>23</v>
      </c>
      <c r="AB90" s="263" t="s">
        <v>22</v>
      </c>
      <c r="AC90" s="264" t="s">
        <v>24</v>
      </c>
      <c r="AD90" s="219"/>
      <c r="AE90" s="261" t="s">
        <v>17</v>
      </c>
      <c r="AF90" s="262" t="s">
        <v>23</v>
      </c>
      <c r="AG90" s="261" t="s">
        <v>18</v>
      </c>
      <c r="AH90" s="262" t="s">
        <v>23</v>
      </c>
      <c r="AI90" s="261" t="s">
        <v>19</v>
      </c>
      <c r="AJ90" s="262" t="s">
        <v>23</v>
      </c>
      <c r="AK90" s="263" t="s">
        <v>22</v>
      </c>
      <c r="AL90" s="264" t="s">
        <v>24</v>
      </c>
      <c r="AM90" s="219"/>
    </row>
    <row r="91" spans="1:39" ht="18" customHeight="1">
      <c r="A91" s="185" t="s">
        <v>68</v>
      </c>
      <c r="B91" s="184">
        <v>421</v>
      </c>
      <c r="C91" s="182" t="s">
        <v>126</v>
      </c>
      <c r="D91" s="256">
        <v>64.697000000000003</v>
      </c>
      <c r="E91" s="255">
        <v>1</v>
      </c>
      <c r="F91" s="254">
        <v>67.051000000000002</v>
      </c>
      <c r="G91" s="255">
        <v>1</v>
      </c>
      <c r="H91" s="254"/>
      <c r="I91" s="255"/>
      <c r="J91" s="257">
        <f>D91+F91+H91</f>
        <v>131.74799999999999</v>
      </c>
      <c r="K91" s="250" t="s">
        <v>156</v>
      </c>
      <c r="L91" s="221">
        <f>(6*4)+(6*3)</f>
        <v>42</v>
      </c>
      <c r="M91" s="256"/>
      <c r="N91" s="255"/>
      <c r="O91" s="254"/>
      <c r="P91" s="255"/>
      <c r="Q91" s="254"/>
      <c r="R91" s="255"/>
      <c r="S91" s="257">
        <f>M91+O91+Q91</f>
        <v>0</v>
      </c>
      <c r="T91" s="250"/>
      <c r="U91" s="219"/>
      <c r="V91" s="256"/>
      <c r="W91" s="255"/>
      <c r="X91" s="254"/>
      <c r="Y91" s="255"/>
      <c r="Z91" s="254"/>
      <c r="AA91" s="255"/>
      <c r="AB91" s="257">
        <f>V91+X91+Z91</f>
        <v>0</v>
      </c>
      <c r="AC91" s="250"/>
      <c r="AD91" s="219"/>
      <c r="AE91" s="256"/>
      <c r="AF91" s="255"/>
      <c r="AG91" s="254"/>
      <c r="AH91" s="255"/>
      <c r="AI91" s="254"/>
      <c r="AJ91" s="255"/>
      <c r="AK91" s="257">
        <f>AE91+AG91+AI91</f>
        <v>0</v>
      </c>
      <c r="AL91" s="250"/>
      <c r="AM91" s="219"/>
    </row>
    <row r="92" spans="1:39" ht="18" customHeight="1">
      <c r="A92" s="186" t="s">
        <v>108</v>
      </c>
      <c r="B92" s="187">
        <v>3272</v>
      </c>
      <c r="C92" s="188" t="s">
        <v>125</v>
      </c>
      <c r="D92" s="256">
        <v>63.787999999999997</v>
      </c>
      <c r="E92" s="255">
        <v>2</v>
      </c>
      <c r="F92" s="254">
        <v>64.872</v>
      </c>
      <c r="G92" s="255">
        <v>2</v>
      </c>
      <c r="H92" s="254"/>
      <c r="I92" s="255"/>
      <c r="J92" s="257">
        <f>D92+F92+H92</f>
        <v>128.66</v>
      </c>
      <c r="K92" s="250" t="s">
        <v>155</v>
      </c>
      <c r="L92" s="221">
        <f>(5*4)+(5*3)</f>
        <v>35</v>
      </c>
      <c r="M92" s="256"/>
      <c r="N92" s="255"/>
      <c r="O92" s="254"/>
      <c r="P92" s="255"/>
      <c r="Q92" s="254"/>
      <c r="R92" s="255"/>
      <c r="S92" s="257">
        <f>M92+O92+Q92</f>
        <v>0</v>
      </c>
      <c r="T92" s="250"/>
      <c r="U92" s="219"/>
      <c r="V92" s="256">
        <v>64.7</v>
      </c>
      <c r="W92" s="255">
        <v>1</v>
      </c>
      <c r="X92" s="254">
        <v>65.77</v>
      </c>
      <c r="Y92" s="255">
        <v>2</v>
      </c>
      <c r="Z92" s="254">
        <v>64.86</v>
      </c>
      <c r="AA92" s="255">
        <v>2</v>
      </c>
      <c r="AB92" s="257">
        <f>V92+X92+Z92</f>
        <v>195.32999999999998</v>
      </c>
      <c r="AC92" s="250" t="s">
        <v>155</v>
      </c>
      <c r="AD92" s="219">
        <f>12+10+10</f>
        <v>32</v>
      </c>
      <c r="AE92" s="256"/>
      <c r="AF92" s="255"/>
      <c r="AG92" s="254"/>
      <c r="AH92" s="255"/>
      <c r="AI92" s="254"/>
      <c r="AJ92" s="255"/>
      <c r="AK92" s="257">
        <f>AE92+AG92+AI92</f>
        <v>0</v>
      </c>
      <c r="AL92" s="250"/>
      <c r="AM92" s="219"/>
    </row>
    <row r="93" spans="1:39" ht="18" customHeight="1">
      <c r="A93" s="186" t="s">
        <v>106</v>
      </c>
      <c r="B93" s="187">
        <v>8027</v>
      </c>
      <c r="C93" s="188" t="s">
        <v>127</v>
      </c>
      <c r="D93" s="256">
        <v>63.03</v>
      </c>
      <c r="E93" s="255">
        <v>3</v>
      </c>
      <c r="F93" s="254">
        <v>62.195</v>
      </c>
      <c r="G93" s="255">
        <v>3</v>
      </c>
      <c r="H93" s="254"/>
      <c r="I93" s="255"/>
      <c r="J93" s="257">
        <f>D93+F93+H93</f>
        <v>125.22499999999999</v>
      </c>
      <c r="K93" s="250"/>
      <c r="L93" s="221">
        <f>(4*4)+(4*3)</f>
        <v>28</v>
      </c>
      <c r="M93" s="256"/>
      <c r="N93" s="255"/>
      <c r="O93" s="254"/>
      <c r="P93" s="255"/>
      <c r="Q93" s="254"/>
      <c r="R93" s="255"/>
      <c r="S93" s="257">
        <f>M93+O93+Q93</f>
        <v>0</v>
      </c>
      <c r="T93" s="250"/>
      <c r="U93" s="219"/>
      <c r="V93" s="256"/>
      <c r="W93" s="255"/>
      <c r="X93" s="254"/>
      <c r="Y93" s="255"/>
      <c r="Z93" s="254"/>
      <c r="AA93" s="255"/>
      <c r="AB93" s="257">
        <f>V93+X93+Z93</f>
        <v>0</v>
      </c>
      <c r="AC93" s="250"/>
      <c r="AD93" s="219"/>
      <c r="AE93" s="256"/>
      <c r="AF93" s="255"/>
      <c r="AG93" s="254"/>
      <c r="AH93" s="255"/>
      <c r="AI93" s="254"/>
      <c r="AJ93" s="255"/>
      <c r="AK93" s="257">
        <f>AE93+AG93+AI93</f>
        <v>0</v>
      </c>
      <c r="AL93" s="250"/>
      <c r="AM93" s="219"/>
    </row>
    <row r="94" spans="1:39" ht="18" customHeight="1">
      <c r="A94" s="186" t="s">
        <v>105</v>
      </c>
      <c r="B94" s="187">
        <v>8025</v>
      </c>
      <c r="C94" s="188" t="s">
        <v>148</v>
      </c>
      <c r="D94" s="256">
        <v>60</v>
      </c>
      <c r="E94" s="255">
        <v>4</v>
      </c>
      <c r="F94" s="254"/>
      <c r="G94" s="255"/>
      <c r="H94" s="254"/>
      <c r="I94" s="255"/>
      <c r="J94" s="257">
        <f>D94+F94+H94</f>
        <v>60</v>
      </c>
      <c r="K94" s="250"/>
      <c r="L94" s="221">
        <v>3</v>
      </c>
      <c r="M94" s="256"/>
      <c r="N94" s="255"/>
      <c r="O94" s="254"/>
      <c r="P94" s="255"/>
      <c r="Q94" s="254"/>
      <c r="R94" s="255"/>
      <c r="S94" s="257">
        <f>M94+O94+Q94</f>
        <v>0</v>
      </c>
      <c r="T94" s="250"/>
      <c r="U94" s="219"/>
      <c r="V94" s="256"/>
      <c r="W94" s="255"/>
      <c r="X94" s="254"/>
      <c r="Y94" s="255"/>
      <c r="Z94" s="254"/>
      <c r="AA94" s="255"/>
      <c r="AB94" s="257">
        <f>V94+X94+Z94</f>
        <v>0</v>
      </c>
      <c r="AC94" s="250"/>
      <c r="AD94" s="219"/>
      <c r="AE94" s="256"/>
      <c r="AF94" s="255"/>
      <c r="AG94" s="254"/>
      <c r="AH94" s="255"/>
      <c r="AI94" s="254"/>
      <c r="AJ94" s="255"/>
      <c r="AK94" s="257">
        <f>AE94+AG94+AI94</f>
        <v>0</v>
      </c>
      <c r="AL94" s="250"/>
      <c r="AM94" s="219"/>
    </row>
    <row r="95" spans="1:39" ht="18" customHeight="1">
      <c r="A95" s="186" t="s">
        <v>197</v>
      </c>
      <c r="B95" s="187">
        <v>3281</v>
      </c>
      <c r="C95" s="188" t="s">
        <v>198</v>
      </c>
      <c r="D95" s="256"/>
      <c r="E95" s="255"/>
      <c r="F95" s="254"/>
      <c r="G95" s="255"/>
      <c r="H95" s="254"/>
      <c r="I95" s="255"/>
      <c r="J95" s="257">
        <f t="shared" ref="J95:J96" si="54">D95+F95+H95</f>
        <v>0</v>
      </c>
      <c r="K95" s="250"/>
      <c r="L95" s="221"/>
      <c r="M95" s="256"/>
      <c r="N95" s="255"/>
      <c r="O95" s="254"/>
      <c r="P95" s="255"/>
      <c r="Q95" s="254"/>
      <c r="R95" s="255"/>
      <c r="S95" s="257">
        <f t="shared" ref="S95:S96" si="55">M95+O95+Q95</f>
        <v>0</v>
      </c>
      <c r="T95" s="250"/>
      <c r="U95" s="219"/>
      <c r="V95" s="256">
        <v>64.55</v>
      </c>
      <c r="W95" s="255">
        <v>2</v>
      </c>
      <c r="X95" s="254">
        <v>65.77</v>
      </c>
      <c r="Y95" s="255">
        <v>1</v>
      </c>
      <c r="Z95" s="254">
        <v>65.97</v>
      </c>
      <c r="AA95" s="255">
        <v>1</v>
      </c>
      <c r="AB95" s="257">
        <f t="shared" ref="AB95:AB96" si="56">V95+X95+Z95</f>
        <v>196.29</v>
      </c>
      <c r="AC95" s="250" t="s">
        <v>156</v>
      </c>
      <c r="AD95" s="219">
        <f>10+12+12</f>
        <v>34</v>
      </c>
      <c r="AE95" s="256"/>
      <c r="AF95" s="255"/>
      <c r="AG95" s="254"/>
      <c r="AH95" s="255"/>
      <c r="AI95" s="254"/>
      <c r="AJ95" s="255"/>
      <c r="AK95" s="257">
        <f t="shared" ref="AK95:AK96" si="57">AE95+AG95+AI95</f>
        <v>0</v>
      </c>
      <c r="AL95" s="250"/>
      <c r="AM95" s="219"/>
    </row>
    <row r="96" spans="1:39" ht="18" customHeight="1">
      <c r="A96" s="124" t="s">
        <v>210</v>
      </c>
      <c r="B96" s="4">
        <v>1791</v>
      </c>
      <c r="C96" s="11" t="s">
        <v>212</v>
      </c>
      <c r="D96" s="241"/>
      <c r="E96" s="242"/>
      <c r="F96" s="243"/>
      <c r="G96" s="242"/>
      <c r="H96" s="243"/>
      <c r="I96" s="242"/>
      <c r="J96" s="257">
        <f t="shared" si="54"/>
        <v>0</v>
      </c>
      <c r="K96" s="245"/>
      <c r="L96" s="222"/>
      <c r="M96" s="241"/>
      <c r="N96" s="242"/>
      <c r="O96" s="243"/>
      <c r="P96" s="242"/>
      <c r="Q96" s="243"/>
      <c r="R96" s="242"/>
      <c r="S96" s="257">
        <f t="shared" si="55"/>
        <v>0</v>
      </c>
      <c r="T96" s="245"/>
      <c r="U96" s="219"/>
      <c r="V96" s="241"/>
      <c r="W96" s="242"/>
      <c r="X96" s="243"/>
      <c r="Y96" s="242"/>
      <c r="Z96" s="243"/>
      <c r="AA96" s="242"/>
      <c r="AB96" s="257">
        <f t="shared" si="56"/>
        <v>0</v>
      </c>
      <c r="AC96" s="245"/>
      <c r="AD96" s="219"/>
      <c r="AE96" s="241">
        <v>59.1</v>
      </c>
      <c r="AF96" s="242">
        <v>2</v>
      </c>
      <c r="AG96" s="243"/>
      <c r="AH96" s="242"/>
      <c r="AI96" s="243"/>
      <c r="AJ96" s="242"/>
      <c r="AK96" s="257">
        <f t="shared" si="57"/>
        <v>59.1</v>
      </c>
      <c r="AL96" s="245" t="s">
        <v>155</v>
      </c>
      <c r="AM96" s="219">
        <v>5</v>
      </c>
    </row>
    <row r="97" spans="1:39" ht="80">
      <c r="A97" s="283" t="s">
        <v>16</v>
      </c>
      <c r="B97" s="284"/>
      <c r="C97" s="26"/>
      <c r="D97" s="232" t="s">
        <v>17</v>
      </c>
      <c r="E97" s="233" t="s">
        <v>23</v>
      </c>
      <c r="F97" s="232" t="s">
        <v>18</v>
      </c>
      <c r="G97" s="233" t="s">
        <v>23</v>
      </c>
      <c r="H97" s="232" t="s">
        <v>19</v>
      </c>
      <c r="I97" s="233" t="s">
        <v>23</v>
      </c>
      <c r="J97" s="234" t="s">
        <v>22</v>
      </c>
      <c r="K97" s="235" t="s">
        <v>24</v>
      </c>
      <c r="L97" s="220"/>
      <c r="M97" s="232" t="s">
        <v>17</v>
      </c>
      <c r="N97" s="233" t="s">
        <v>23</v>
      </c>
      <c r="O97" s="232" t="s">
        <v>18</v>
      </c>
      <c r="P97" s="233" t="s">
        <v>23</v>
      </c>
      <c r="Q97" s="232" t="s">
        <v>19</v>
      </c>
      <c r="R97" s="233" t="s">
        <v>23</v>
      </c>
      <c r="S97" s="234" t="s">
        <v>22</v>
      </c>
      <c r="T97" s="235" t="s">
        <v>24</v>
      </c>
      <c r="U97" s="219"/>
      <c r="V97" s="232" t="s">
        <v>17</v>
      </c>
      <c r="W97" s="233" t="s">
        <v>23</v>
      </c>
      <c r="X97" s="232" t="s">
        <v>18</v>
      </c>
      <c r="Y97" s="233" t="s">
        <v>23</v>
      </c>
      <c r="Z97" s="232" t="s">
        <v>19</v>
      </c>
      <c r="AA97" s="233" t="s">
        <v>23</v>
      </c>
      <c r="AB97" s="234" t="s">
        <v>22</v>
      </c>
      <c r="AC97" s="235" t="s">
        <v>24</v>
      </c>
      <c r="AD97" s="219"/>
      <c r="AE97" s="232" t="s">
        <v>17</v>
      </c>
      <c r="AF97" s="233" t="s">
        <v>23</v>
      </c>
      <c r="AG97" s="232" t="s">
        <v>18</v>
      </c>
      <c r="AH97" s="233" t="s">
        <v>23</v>
      </c>
      <c r="AI97" s="232" t="s">
        <v>19</v>
      </c>
      <c r="AJ97" s="233" t="s">
        <v>23</v>
      </c>
      <c r="AK97" s="234" t="s">
        <v>22</v>
      </c>
      <c r="AL97" s="235" t="s">
        <v>24</v>
      </c>
      <c r="AM97" s="219"/>
    </row>
    <row r="98" spans="1:39" ht="18" customHeight="1">
      <c r="A98" s="127" t="s">
        <v>71</v>
      </c>
      <c r="B98" s="107">
        <v>3632</v>
      </c>
      <c r="C98" s="108" t="s">
        <v>72</v>
      </c>
      <c r="D98" s="246">
        <v>64.545000000000002</v>
      </c>
      <c r="E98" s="247">
        <v>1</v>
      </c>
      <c r="F98" s="248">
        <v>65.513000000000005</v>
      </c>
      <c r="G98" s="247">
        <v>1</v>
      </c>
      <c r="H98" s="248"/>
      <c r="I98" s="247"/>
      <c r="J98" s="257">
        <f>D98+F98+H98</f>
        <v>130.05799999999999</v>
      </c>
      <c r="K98" s="250" t="s">
        <v>156</v>
      </c>
      <c r="L98" s="221">
        <v>12</v>
      </c>
      <c r="M98" s="246"/>
      <c r="N98" s="247"/>
      <c r="O98" s="248"/>
      <c r="P98" s="247"/>
      <c r="Q98" s="248"/>
      <c r="R98" s="247"/>
      <c r="S98" s="257">
        <f>M98+O98+Q98</f>
        <v>0</v>
      </c>
      <c r="T98" s="250"/>
      <c r="U98" s="219"/>
      <c r="V98" s="246"/>
      <c r="W98" s="247"/>
      <c r="X98" s="248"/>
      <c r="Y98" s="247"/>
      <c r="Z98" s="248"/>
      <c r="AA98" s="247"/>
      <c r="AB98" s="257">
        <f>V98+X98+Z98</f>
        <v>0</v>
      </c>
      <c r="AC98" s="250"/>
      <c r="AD98" s="219"/>
      <c r="AE98" s="246"/>
      <c r="AF98" s="247"/>
      <c r="AG98" s="248"/>
      <c r="AH98" s="247"/>
      <c r="AI98" s="248"/>
      <c r="AJ98" s="247"/>
      <c r="AK98" s="257">
        <f>AE98+AG98+AI98</f>
        <v>0</v>
      </c>
      <c r="AL98" s="250"/>
      <c r="AM98" s="219"/>
    </row>
    <row r="99" spans="1:39" ht="18" customHeight="1">
      <c r="A99" s="127"/>
      <c r="B99" s="10"/>
      <c r="C99" s="11"/>
      <c r="D99" s="246"/>
      <c r="E99" s="247"/>
      <c r="F99" s="248"/>
      <c r="G99" s="247"/>
      <c r="H99" s="248"/>
      <c r="I99" s="247"/>
      <c r="J99" s="257">
        <f t="shared" ref="J99:J101" si="58">D99+F99+H99</f>
        <v>0</v>
      </c>
      <c r="K99" s="250"/>
      <c r="L99" s="221"/>
      <c r="M99" s="246"/>
      <c r="N99" s="247"/>
      <c r="O99" s="248"/>
      <c r="P99" s="247"/>
      <c r="Q99" s="248"/>
      <c r="R99" s="247"/>
      <c r="S99" s="257">
        <f t="shared" ref="S99:S101" si="59">M99+O99+Q99</f>
        <v>0</v>
      </c>
      <c r="T99" s="250"/>
      <c r="U99" s="219"/>
      <c r="V99" s="246"/>
      <c r="W99" s="247"/>
      <c r="X99" s="248"/>
      <c r="Y99" s="247"/>
      <c r="Z99" s="248"/>
      <c r="AA99" s="247"/>
      <c r="AB99" s="257">
        <f t="shared" ref="AB99:AB101" si="60">V99+X99+Z99</f>
        <v>0</v>
      </c>
      <c r="AC99" s="250"/>
      <c r="AD99" s="219"/>
      <c r="AE99" s="246"/>
      <c r="AF99" s="247"/>
      <c r="AG99" s="248"/>
      <c r="AH99" s="247"/>
      <c r="AI99" s="248"/>
      <c r="AJ99" s="247"/>
      <c r="AK99" s="257">
        <f t="shared" ref="AK99:AK101" si="61">AE99+AG99+AI99</f>
        <v>0</v>
      </c>
      <c r="AL99" s="250"/>
      <c r="AM99" s="219"/>
    </row>
    <row r="100" spans="1:39" ht="16.75" customHeight="1">
      <c r="A100" s="124"/>
      <c r="B100" s="4"/>
      <c r="C100" s="5"/>
      <c r="D100" s="251"/>
      <c r="E100" s="252"/>
      <c r="F100" s="253"/>
      <c r="G100" s="252"/>
      <c r="H100" s="253"/>
      <c r="I100" s="252"/>
      <c r="J100" s="257">
        <f t="shared" si="58"/>
        <v>0</v>
      </c>
      <c r="K100" s="245"/>
      <c r="L100" s="222"/>
      <c r="M100" s="251"/>
      <c r="N100" s="252"/>
      <c r="O100" s="253"/>
      <c r="P100" s="252"/>
      <c r="Q100" s="253"/>
      <c r="R100" s="252"/>
      <c r="S100" s="257">
        <f t="shared" si="59"/>
        <v>0</v>
      </c>
      <c r="T100" s="245"/>
      <c r="U100" s="219"/>
      <c r="V100" s="251"/>
      <c r="W100" s="252"/>
      <c r="X100" s="253"/>
      <c r="Y100" s="252"/>
      <c r="Z100" s="253"/>
      <c r="AA100" s="252"/>
      <c r="AB100" s="257">
        <f t="shared" si="60"/>
        <v>0</v>
      </c>
      <c r="AC100" s="245"/>
      <c r="AD100" s="219"/>
      <c r="AE100" s="251"/>
      <c r="AF100" s="252"/>
      <c r="AG100" s="253"/>
      <c r="AH100" s="252"/>
      <c r="AI100" s="253"/>
      <c r="AJ100" s="252"/>
      <c r="AK100" s="257">
        <f t="shared" si="61"/>
        <v>0</v>
      </c>
      <c r="AL100" s="245"/>
      <c r="AM100" s="219"/>
    </row>
    <row r="101" spans="1:39" ht="18" customHeight="1">
      <c r="A101" s="124"/>
      <c r="B101" s="4"/>
      <c r="C101" s="5"/>
      <c r="D101" s="251"/>
      <c r="E101" s="252"/>
      <c r="F101" s="253"/>
      <c r="G101" s="252"/>
      <c r="H101" s="253"/>
      <c r="I101" s="252"/>
      <c r="J101" s="257">
        <f t="shared" si="58"/>
        <v>0</v>
      </c>
      <c r="K101" s="245"/>
      <c r="L101" s="222"/>
      <c r="M101" s="251"/>
      <c r="N101" s="252"/>
      <c r="O101" s="253"/>
      <c r="P101" s="252"/>
      <c r="Q101" s="253"/>
      <c r="R101" s="252"/>
      <c r="S101" s="257">
        <f t="shared" si="59"/>
        <v>0</v>
      </c>
      <c r="T101" s="245"/>
      <c r="U101" s="219"/>
      <c r="V101" s="251"/>
      <c r="W101" s="252"/>
      <c r="X101" s="253"/>
      <c r="Y101" s="252"/>
      <c r="Z101" s="253"/>
      <c r="AA101" s="252"/>
      <c r="AB101" s="257">
        <f t="shared" si="60"/>
        <v>0</v>
      </c>
      <c r="AC101" s="245"/>
      <c r="AD101" s="219"/>
      <c r="AE101" s="251"/>
      <c r="AF101" s="252"/>
      <c r="AG101" s="253"/>
      <c r="AH101" s="252"/>
      <c r="AI101" s="253"/>
      <c r="AJ101" s="252"/>
      <c r="AK101" s="257">
        <f t="shared" si="61"/>
        <v>0</v>
      </c>
      <c r="AL101" s="245"/>
      <c r="AM101" s="219"/>
    </row>
    <row r="102" spans="1:39" ht="80">
      <c r="A102" s="283" t="s">
        <v>25</v>
      </c>
      <c r="B102" s="284"/>
      <c r="C102" s="26"/>
      <c r="D102" s="232" t="s">
        <v>17</v>
      </c>
      <c r="E102" s="233" t="s">
        <v>23</v>
      </c>
      <c r="F102" s="232" t="s">
        <v>18</v>
      </c>
      <c r="G102" s="233" t="s">
        <v>23</v>
      </c>
      <c r="H102" s="232" t="s">
        <v>19</v>
      </c>
      <c r="I102" s="233" t="s">
        <v>23</v>
      </c>
      <c r="J102" s="234" t="s">
        <v>22</v>
      </c>
      <c r="K102" s="235" t="s">
        <v>24</v>
      </c>
      <c r="L102" s="220"/>
      <c r="M102" s="232" t="s">
        <v>17</v>
      </c>
      <c r="N102" s="233" t="s">
        <v>23</v>
      </c>
      <c r="O102" s="232" t="s">
        <v>18</v>
      </c>
      <c r="P102" s="233" t="s">
        <v>23</v>
      </c>
      <c r="Q102" s="232" t="s">
        <v>19</v>
      </c>
      <c r="R102" s="233" t="s">
        <v>23</v>
      </c>
      <c r="S102" s="234" t="s">
        <v>22</v>
      </c>
      <c r="T102" s="235" t="s">
        <v>24</v>
      </c>
      <c r="U102" s="219"/>
      <c r="V102" s="232" t="s">
        <v>17</v>
      </c>
      <c r="W102" s="233" t="s">
        <v>23</v>
      </c>
      <c r="X102" s="232" t="s">
        <v>18</v>
      </c>
      <c r="Y102" s="233" t="s">
        <v>23</v>
      </c>
      <c r="Z102" s="232" t="s">
        <v>19</v>
      </c>
      <c r="AA102" s="233" t="s">
        <v>23</v>
      </c>
      <c r="AB102" s="234" t="s">
        <v>22</v>
      </c>
      <c r="AC102" s="235" t="s">
        <v>24</v>
      </c>
      <c r="AD102" s="219"/>
      <c r="AE102" s="232" t="s">
        <v>17</v>
      </c>
      <c r="AF102" s="233" t="s">
        <v>23</v>
      </c>
      <c r="AG102" s="232" t="s">
        <v>18</v>
      </c>
      <c r="AH102" s="233" t="s">
        <v>23</v>
      </c>
      <c r="AI102" s="232" t="s">
        <v>19</v>
      </c>
      <c r="AJ102" s="233" t="s">
        <v>23</v>
      </c>
      <c r="AK102" s="234" t="s">
        <v>22</v>
      </c>
      <c r="AL102" s="235" t="s">
        <v>24</v>
      </c>
      <c r="AM102" s="219"/>
    </row>
    <row r="103" spans="1:39" ht="15">
      <c r="A103" s="36" t="s">
        <v>122</v>
      </c>
      <c r="B103" s="4">
        <v>416</v>
      </c>
      <c r="C103" s="5" t="s">
        <v>123</v>
      </c>
      <c r="D103" s="251">
        <v>55.676000000000002</v>
      </c>
      <c r="E103" s="252">
        <v>1</v>
      </c>
      <c r="F103" s="253">
        <v>60.417000000000002</v>
      </c>
      <c r="G103" s="252">
        <v>1</v>
      </c>
      <c r="H103" s="253"/>
      <c r="I103" s="252"/>
      <c r="J103" s="244">
        <f t="shared" ref="J103:J106" si="62">D103+F103+H103</f>
        <v>116.093</v>
      </c>
      <c r="K103" s="250" t="s">
        <v>156</v>
      </c>
      <c r="L103" s="225">
        <v>18</v>
      </c>
      <c r="M103" s="251"/>
      <c r="N103" s="252"/>
      <c r="O103" s="253"/>
      <c r="P103" s="252"/>
      <c r="Q103" s="253"/>
      <c r="R103" s="252"/>
      <c r="S103" s="244">
        <f t="shared" ref="S103:S116" si="63">M103+O103+Q103</f>
        <v>0</v>
      </c>
      <c r="T103" s="250"/>
      <c r="U103" s="219"/>
      <c r="V103" s="251"/>
      <c r="W103" s="252"/>
      <c r="X103" s="253"/>
      <c r="Y103" s="252"/>
      <c r="Z103" s="253"/>
      <c r="AA103" s="252"/>
      <c r="AB103" s="244">
        <f t="shared" ref="AB103:AB116" si="64">V103+X103+Z103</f>
        <v>0</v>
      </c>
      <c r="AC103" s="250"/>
      <c r="AD103" s="219"/>
      <c r="AE103" s="251"/>
      <c r="AF103" s="252"/>
      <c r="AG103" s="253"/>
      <c r="AH103" s="252"/>
      <c r="AI103" s="253"/>
      <c r="AJ103" s="252"/>
      <c r="AK103" s="244">
        <f t="shared" ref="AK103:AK116" si="65">AE103+AG103+AI103</f>
        <v>0</v>
      </c>
      <c r="AL103" s="250"/>
      <c r="AM103" s="219"/>
    </row>
    <row r="104" spans="1:39" ht="15">
      <c r="A104" s="36" t="s">
        <v>54</v>
      </c>
      <c r="B104" s="4">
        <v>424</v>
      </c>
      <c r="C104" s="5" t="s">
        <v>124</v>
      </c>
      <c r="D104" s="251">
        <v>55.27</v>
      </c>
      <c r="E104" s="252">
        <v>2</v>
      </c>
      <c r="F104" s="253"/>
      <c r="G104" s="252"/>
      <c r="H104" s="253"/>
      <c r="I104" s="252"/>
      <c r="J104" s="244">
        <f t="shared" si="62"/>
        <v>55.27</v>
      </c>
      <c r="K104" s="260"/>
      <c r="L104" s="225">
        <v>10</v>
      </c>
      <c r="M104" s="251">
        <v>57.296999999999997</v>
      </c>
      <c r="N104" s="252">
        <v>2</v>
      </c>
      <c r="O104" s="253"/>
      <c r="P104" s="252"/>
      <c r="Q104" s="253"/>
      <c r="R104" s="252"/>
      <c r="S104" s="244">
        <f t="shared" si="63"/>
        <v>57.296999999999997</v>
      </c>
      <c r="T104" s="260"/>
      <c r="U104" s="219">
        <v>5</v>
      </c>
      <c r="V104" s="251"/>
      <c r="W104" s="252"/>
      <c r="X104" s="253"/>
      <c r="Y104" s="252"/>
      <c r="Z104" s="253"/>
      <c r="AA104" s="252"/>
      <c r="AB104" s="244">
        <f t="shared" si="64"/>
        <v>0</v>
      </c>
      <c r="AC104" s="260"/>
      <c r="AD104" s="219"/>
      <c r="AE104" s="251"/>
      <c r="AF104" s="252"/>
      <c r="AG104" s="253"/>
      <c r="AH104" s="252"/>
      <c r="AI104" s="253"/>
      <c r="AJ104" s="252"/>
      <c r="AK104" s="244">
        <f t="shared" si="65"/>
        <v>0</v>
      </c>
      <c r="AL104" s="260"/>
      <c r="AM104" s="219"/>
    </row>
    <row r="105" spans="1:39" ht="15">
      <c r="A105" s="36"/>
      <c r="B105" s="4"/>
      <c r="C105" s="5"/>
      <c r="D105" s="251"/>
      <c r="E105" s="252"/>
      <c r="F105" s="253"/>
      <c r="G105" s="252"/>
      <c r="H105" s="253"/>
      <c r="I105" s="252"/>
      <c r="J105" s="244">
        <f t="shared" si="62"/>
        <v>0</v>
      </c>
      <c r="K105" s="260"/>
      <c r="L105" s="226"/>
      <c r="M105" s="251"/>
      <c r="N105" s="252"/>
      <c r="O105" s="253"/>
      <c r="P105" s="252"/>
      <c r="Q105" s="253"/>
      <c r="R105" s="252"/>
      <c r="S105" s="244">
        <f t="shared" si="63"/>
        <v>0</v>
      </c>
      <c r="T105" s="260"/>
      <c r="U105" s="219"/>
      <c r="V105" s="251"/>
      <c r="W105" s="252"/>
      <c r="X105" s="253"/>
      <c r="Y105" s="252"/>
      <c r="Z105" s="253"/>
      <c r="AA105" s="252"/>
      <c r="AB105" s="244">
        <f t="shared" si="64"/>
        <v>0</v>
      </c>
      <c r="AC105" s="260"/>
      <c r="AD105" s="219"/>
      <c r="AE105" s="251"/>
      <c r="AF105" s="252"/>
      <c r="AG105" s="253"/>
      <c r="AH105" s="252"/>
      <c r="AI105" s="253"/>
      <c r="AJ105" s="252"/>
      <c r="AK105" s="244">
        <f t="shared" si="65"/>
        <v>0</v>
      </c>
      <c r="AL105" s="260"/>
      <c r="AM105" s="219"/>
    </row>
    <row r="106" spans="1:39" ht="16.75" customHeight="1">
      <c r="A106" s="36"/>
      <c r="B106" s="4"/>
      <c r="C106" s="5"/>
      <c r="D106" s="251"/>
      <c r="E106" s="252"/>
      <c r="F106" s="253"/>
      <c r="G106" s="252"/>
      <c r="H106" s="253"/>
      <c r="I106" s="252"/>
      <c r="J106" s="244">
        <f t="shared" si="62"/>
        <v>0</v>
      </c>
      <c r="K106" s="245"/>
      <c r="L106" s="222"/>
      <c r="M106" s="251"/>
      <c r="N106" s="252"/>
      <c r="O106" s="253"/>
      <c r="P106" s="252"/>
      <c r="Q106" s="253"/>
      <c r="R106" s="252"/>
      <c r="S106" s="244">
        <f t="shared" si="63"/>
        <v>0</v>
      </c>
      <c r="T106" s="245"/>
      <c r="U106" s="219"/>
      <c r="V106" s="251"/>
      <c r="W106" s="252"/>
      <c r="X106" s="253"/>
      <c r="Y106" s="252"/>
      <c r="Z106" s="253"/>
      <c r="AA106" s="252"/>
      <c r="AB106" s="244">
        <f t="shared" si="64"/>
        <v>0</v>
      </c>
      <c r="AC106" s="245"/>
      <c r="AD106" s="219"/>
      <c r="AE106" s="251"/>
      <c r="AF106" s="252"/>
      <c r="AG106" s="253"/>
      <c r="AH106" s="252"/>
      <c r="AI106" s="253"/>
      <c r="AJ106" s="252"/>
      <c r="AK106" s="244">
        <f t="shared" si="65"/>
        <v>0</v>
      </c>
      <c r="AL106" s="245"/>
      <c r="AM106" s="219"/>
    </row>
    <row r="107" spans="1:39" ht="18" hidden="1" customHeight="1">
      <c r="A107" s="36"/>
      <c r="B107" s="4"/>
      <c r="C107" s="5"/>
      <c r="D107" s="251"/>
      <c r="E107" s="252"/>
      <c r="F107" s="253"/>
      <c r="G107" s="252"/>
      <c r="H107" s="253"/>
      <c r="I107" s="252"/>
      <c r="J107" s="244">
        <f t="shared" ref="J107:J116" si="66">D107+F107+H107</f>
        <v>0</v>
      </c>
      <c r="K107" s="245"/>
      <c r="L107" s="222"/>
      <c r="M107" s="251"/>
      <c r="N107" s="252"/>
      <c r="O107" s="253"/>
      <c r="P107" s="252"/>
      <c r="Q107" s="253"/>
      <c r="R107" s="252"/>
      <c r="S107" s="244">
        <f t="shared" si="63"/>
        <v>0</v>
      </c>
      <c r="T107" s="245"/>
      <c r="U107" s="219"/>
      <c r="V107" s="251"/>
      <c r="W107" s="252"/>
      <c r="X107" s="253"/>
      <c r="Y107" s="252"/>
      <c r="Z107" s="253"/>
      <c r="AA107" s="252"/>
      <c r="AB107" s="244">
        <f t="shared" si="64"/>
        <v>0</v>
      </c>
      <c r="AC107" s="245"/>
      <c r="AD107" s="219"/>
      <c r="AE107" s="251"/>
      <c r="AF107" s="252"/>
      <c r="AG107" s="253"/>
      <c r="AH107" s="252"/>
      <c r="AI107" s="253"/>
      <c r="AJ107" s="252"/>
      <c r="AK107" s="244">
        <f t="shared" si="65"/>
        <v>0</v>
      </c>
      <c r="AL107" s="245"/>
      <c r="AM107" s="219"/>
    </row>
    <row r="108" spans="1:39" ht="16.75" hidden="1" customHeight="1">
      <c r="A108" s="36"/>
      <c r="B108" s="4"/>
      <c r="C108" s="5"/>
      <c r="D108" s="251"/>
      <c r="E108" s="252"/>
      <c r="F108" s="253"/>
      <c r="G108" s="252"/>
      <c r="H108" s="253"/>
      <c r="I108" s="252"/>
      <c r="J108" s="244">
        <f t="shared" si="66"/>
        <v>0</v>
      </c>
      <c r="K108" s="245"/>
      <c r="L108" s="222"/>
      <c r="M108" s="251"/>
      <c r="N108" s="252"/>
      <c r="O108" s="253"/>
      <c r="P108" s="252"/>
      <c r="Q108" s="253"/>
      <c r="R108" s="252"/>
      <c r="S108" s="244">
        <f t="shared" si="63"/>
        <v>0</v>
      </c>
      <c r="T108" s="245"/>
      <c r="U108" s="219"/>
      <c r="V108" s="251"/>
      <c r="W108" s="252"/>
      <c r="X108" s="253"/>
      <c r="Y108" s="252"/>
      <c r="Z108" s="253"/>
      <c r="AA108" s="252"/>
      <c r="AB108" s="244">
        <f t="shared" si="64"/>
        <v>0</v>
      </c>
      <c r="AC108" s="245"/>
      <c r="AD108" s="219"/>
      <c r="AE108" s="251"/>
      <c r="AF108" s="252"/>
      <c r="AG108" s="253"/>
      <c r="AH108" s="252"/>
      <c r="AI108" s="253"/>
      <c r="AJ108" s="252"/>
      <c r="AK108" s="244">
        <f t="shared" si="65"/>
        <v>0</v>
      </c>
      <c r="AL108" s="245"/>
      <c r="AM108" s="219"/>
    </row>
    <row r="109" spans="1:39" ht="18" hidden="1" customHeight="1">
      <c r="A109" s="36"/>
      <c r="B109" s="4"/>
      <c r="C109" s="5"/>
      <c r="D109" s="251"/>
      <c r="E109" s="252"/>
      <c r="F109" s="253"/>
      <c r="G109" s="252"/>
      <c r="H109" s="253"/>
      <c r="I109" s="252"/>
      <c r="J109" s="244">
        <f t="shared" si="66"/>
        <v>0</v>
      </c>
      <c r="K109" s="245"/>
      <c r="L109" s="222"/>
      <c r="M109" s="251"/>
      <c r="N109" s="252"/>
      <c r="O109" s="253"/>
      <c r="P109" s="252"/>
      <c r="Q109" s="253"/>
      <c r="R109" s="252"/>
      <c r="S109" s="244">
        <f t="shared" si="63"/>
        <v>0</v>
      </c>
      <c r="T109" s="245"/>
      <c r="U109" s="219"/>
      <c r="V109" s="251"/>
      <c r="W109" s="252"/>
      <c r="X109" s="253"/>
      <c r="Y109" s="252"/>
      <c r="Z109" s="253"/>
      <c r="AA109" s="252"/>
      <c r="AB109" s="244">
        <f t="shared" si="64"/>
        <v>0</v>
      </c>
      <c r="AC109" s="245"/>
      <c r="AD109" s="219"/>
      <c r="AE109" s="251"/>
      <c r="AF109" s="252"/>
      <c r="AG109" s="253"/>
      <c r="AH109" s="252"/>
      <c r="AI109" s="253"/>
      <c r="AJ109" s="252"/>
      <c r="AK109" s="244">
        <f t="shared" si="65"/>
        <v>0</v>
      </c>
      <c r="AL109" s="245"/>
      <c r="AM109" s="219"/>
    </row>
    <row r="110" spans="1:39" ht="16.75" hidden="1" customHeight="1">
      <c r="A110" s="36"/>
      <c r="B110" s="4"/>
      <c r="C110" s="5"/>
      <c r="D110" s="251"/>
      <c r="E110" s="252"/>
      <c r="F110" s="253"/>
      <c r="G110" s="252"/>
      <c r="H110" s="253"/>
      <c r="I110" s="252"/>
      <c r="J110" s="244">
        <f t="shared" si="66"/>
        <v>0</v>
      </c>
      <c r="K110" s="245"/>
      <c r="L110" s="222"/>
      <c r="M110" s="251"/>
      <c r="N110" s="252"/>
      <c r="O110" s="253"/>
      <c r="P110" s="252"/>
      <c r="Q110" s="253"/>
      <c r="R110" s="252"/>
      <c r="S110" s="244">
        <f t="shared" si="63"/>
        <v>0</v>
      </c>
      <c r="T110" s="245"/>
      <c r="U110" s="219"/>
      <c r="V110" s="251"/>
      <c r="W110" s="252"/>
      <c r="X110" s="253"/>
      <c r="Y110" s="252"/>
      <c r="Z110" s="253"/>
      <c r="AA110" s="252"/>
      <c r="AB110" s="244">
        <f t="shared" si="64"/>
        <v>0</v>
      </c>
      <c r="AC110" s="245"/>
      <c r="AD110" s="219"/>
      <c r="AE110" s="251"/>
      <c r="AF110" s="252"/>
      <c r="AG110" s="253"/>
      <c r="AH110" s="252"/>
      <c r="AI110" s="253"/>
      <c r="AJ110" s="252"/>
      <c r="AK110" s="244">
        <f t="shared" si="65"/>
        <v>0</v>
      </c>
      <c r="AL110" s="245"/>
      <c r="AM110" s="219"/>
    </row>
    <row r="111" spans="1:39" ht="18" hidden="1" customHeight="1">
      <c r="A111" s="36"/>
      <c r="B111" s="4"/>
      <c r="C111" s="5"/>
      <c r="D111" s="251"/>
      <c r="E111" s="252"/>
      <c r="F111" s="253"/>
      <c r="G111" s="252"/>
      <c r="H111" s="253"/>
      <c r="I111" s="252"/>
      <c r="J111" s="244">
        <f t="shared" si="66"/>
        <v>0</v>
      </c>
      <c r="K111" s="245"/>
      <c r="L111" s="222"/>
      <c r="M111" s="251"/>
      <c r="N111" s="252"/>
      <c r="O111" s="253"/>
      <c r="P111" s="252"/>
      <c r="Q111" s="253"/>
      <c r="R111" s="252"/>
      <c r="S111" s="244">
        <f t="shared" si="63"/>
        <v>0</v>
      </c>
      <c r="T111" s="245"/>
      <c r="U111" s="219"/>
      <c r="V111" s="251"/>
      <c r="W111" s="252"/>
      <c r="X111" s="253"/>
      <c r="Y111" s="252"/>
      <c r="Z111" s="253"/>
      <c r="AA111" s="252"/>
      <c r="AB111" s="244">
        <f t="shared" si="64"/>
        <v>0</v>
      </c>
      <c r="AC111" s="245"/>
      <c r="AD111" s="219"/>
      <c r="AE111" s="251"/>
      <c r="AF111" s="252"/>
      <c r="AG111" s="253"/>
      <c r="AH111" s="252"/>
      <c r="AI111" s="253"/>
      <c r="AJ111" s="252"/>
      <c r="AK111" s="244">
        <f t="shared" si="65"/>
        <v>0</v>
      </c>
      <c r="AL111" s="245"/>
      <c r="AM111" s="219"/>
    </row>
    <row r="112" spans="1:39" ht="18" hidden="1" customHeight="1">
      <c r="A112" s="36"/>
      <c r="B112" s="4"/>
      <c r="C112" s="5"/>
      <c r="D112" s="251"/>
      <c r="E112" s="252"/>
      <c r="F112" s="253"/>
      <c r="G112" s="252"/>
      <c r="H112" s="253"/>
      <c r="I112" s="252"/>
      <c r="J112" s="244">
        <f t="shared" si="66"/>
        <v>0</v>
      </c>
      <c r="K112" s="245"/>
      <c r="L112" s="222"/>
      <c r="M112" s="251"/>
      <c r="N112" s="252"/>
      <c r="O112" s="253"/>
      <c r="P112" s="252"/>
      <c r="Q112" s="253"/>
      <c r="R112" s="252"/>
      <c r="S112" s="244">
        <f t="shared" si="63"/>
        <v>0</v>
      </c>
      <c r="T112" s="245"/>
      <c r="U112" s="219"/>
      <c r="V112" s="251"/>
      <c r="W112" s="252"/>
      <c r="X112" s="253"/>
      <c r="Y112" s="252"/>
      <c r="Z112" s="253"/>
      <c r="AA112" s="252"/>
      <c r="AB112" s="244">
        <f t="shared" si="64"/>
        <v>0</v>
      </c>
      <c r="AC112" s="245"/>
      <c r="AD112" s="219"/>
      <c r="AE112" s="251"/>
      <c r="AF112" s="252"/>
      <c r="AG112" s="253"/>
      <c r="AH112" s="252"/>
      <c r="AI112" s="253"/>
      <c r="AJ112" s="252"/>
      <c r="AK112" s="244">
        <f t="shared" si="65"/>
        <v>0</v>
      </c>
      <c r="AL112" s="245"/>
      <c r="AM112" s="219"/>
    </row>
    <row r="113" spans="1:39" ht="16.75" hidden="1" customHeight="1">
      <c r="A113" s="34"/>
      <c r="B113" s="4"/>
      <c r="C113" s="5"/>
      <c r="D113" s="251"/>
      <c r="E113" s="252"/>
      <c r="F113" s="253"/>
      <c r="G113" s="252"/>
      <c r="H113" s="253"/>
      <c r="I113" s="252"/>
      <c r="J113" s="244">
        <f t="shared" si="66"/>
        <v>0</v>
      </c>
      <c r="K113" s="245"/>
      <c r="L113" s="222"/>
      <c r="M113" s="251"/>
      <c r="N113" s="252"/>
      <c r="O113" s="253"/>
      <c r="P113" s="252"/>
      <c r="Q113" s="253"/>
      <c r="R113" s="252"/>
      <c r="S113" s="244">
        <f t="shared" si="63"/>
        <v>0</v>
      </c>
      <c r="T113" s="245"/>
      <c r="U113" s="219"/>
      <c r="V113" s="251"/>
      <c r="W113" s="252"/>
      <c r="X113" s="253"/>
      <c r="Y113" s="252"/>
      <c r="Z113" s="253"/>
      <c r="AA113" s="252"/>
      <c r="AB113" s="244">
        <f t="shared" si="64"/>
        <v>0</v>
      </c>
      <c r="AC113" s="245"/>
      <c r="AD113" s="219"/>
      <c r="AE113" s="251"/>
      <c r="AF113" s="252"/>
      <c r="AG113" s="253"/>
      <c r="AH113" s="252"/>
      <c r="AI113" s="253"/>
      <c r="AJ113" s="252"/>
      <c r="AK113" s="244">
        <f t="shared" si="65"/>
        <v>0</v>
      </c>
      <c r="AL113" s="245"/>
      <c r="AM113" s="219"/>
    </row>
    <row r="114" spans="1:39" ht="16.75" hidden="1" customHeight="1">
      <c r="A114" s="36"/>
      <c r="B114" s="4"/>
      <c r="C114" s="5"/>
      <c r="D114" s="251"/>
      <c r="E114" s="252"/>
      <c r="F114" s="253"/>
      <c r="G114" s="252"/>
      <c r="H114" s="253"/>
      <c r="I114" s="252"/>
      <c r="J114" s="244">
        <f t="shared" si="66"/>
        <v>0</v>
      </c>
      <c r="K114" s="245"/>
      <c r="L114" s="222"/>
      <c r="M114" s="251"/>
      <c r="N114" s="252"/>
      <c r="O114" s="253"/>
      <c r="P114" s="252"/>
      <c r="Q114" s="253"/>
      <c r="R114" s="252"/>
      <c r="S114" s="244">
        <f t="shared" si="63"/>
        <v>0</v>
      </c>
      <c r="T114" s="245"/>
      <c r="U114" s="219"/>
      <c r="V114" s="251"/>
      <c r="W114" s="252"/>
      <c r="X114" s="253"/>
      <c r="Y114" s="252"/>
      <c r="Z114" s="253"/>
      <c r="AA114" s="252"/>
      <c r="AB114" s="244">
        <f t="shared" si="64"/>
        <v>0</v>
      </c>
      <c r="AC114" s="245"/>
      <c r="AD114" s="219"/>
      <c r="AE114" s="251"/>
      <c r="AF114" s="252"/>
      <c r="AG114" s="253"/>
      <c r="AH114" s="252"/>
      <c r="AI114" s="253"/>
      <c r="AJ114" s="252"/>
      <c r="AK114" s="244">
        <f t="shared" si="65"/>
        <v>0</v>
      </c>
      <c r="AL114" s="245"/>
      <c r="AM114" s="219"/>
    </row>
    <row r="115" spans="1:39" ht="18" hidden="1" customHeight="1">
      <c r="A115" s="36"/>
      <c r="B115" s="8"/>
      <c r="C115" s="9"/>
      <c r="D115" s="266"/>
      <c r="E115" s="267"/>
      <c r="F115" s="268"/>
      <c r="G115" s="267"/>
      <c r="H115" s="268"/>
      <c r="I115" s="267"/>
      <c r="J115" s="269">
        <f t="shared" si="66"/>
        <v>0</v>
      </c>
      <c r="K115" s="270"/>
      <c r="L115" s="229"/>
      <c r="M115" s="266"/>
      <c r="N115" s="267"/>
      <c r="O115" s="268"/>
      <c r="P115" s="267"/>
      <c r="Q115" s="268"/>
      <c r="R115" s="267"/>
      <c r="S115" s="269">
        <f t="shared" si="63"/>
        <v>0</v>
      </c>
      <c r="T115" s="270"/>
      <c r="U115" s="219"/>
      <c r="V115" s="266"/>
      <c r="W115" s="267"/>
      <c r="X115" s="268"/>
      <c r="Y115" s="267"/>
      <c r="Z115" s="268"/>
      <c r="AA115" s="267"/>
      <c r="AB115" s="269">
        <f t="shared" si="64"/>
        <v>0</v>
      </c>
      <c r="AC115" s="270"/>
      <c r="AD115" s="219"/>
      <c r="AE115" s="266"/>
      <c r="AF115" s="267"/>
      <c r="AG115" s="268"/>
      <c r="AH115" s="267"/>
      <c r="AI115" s="268"/>
      <c r="AJ115" s="267"/>
      <c r="AK115" s="269">
        <f t="shared" si="65"/>
        <v>0</v>
      </c>
      <c r="AL115" s="270"/>
      <c r="AM115" s="219"/>
    </row>
    <row r="116" spans="1:39" ht="18" hidden="1" customHeight="1">
      <c r="A116" s="35"/>
      <c r="B116" s="8"/>
      <c r="C116" s="9"/>
      <c r="D116" s="271"/>
      <c r="E116" s="272"/>
      <c r="F116" s="271"/>
      <c r="G116" s="272"/>
      <c r="H116" s="271"/>
      <c r="I116" s="272"/>
      <c r="J116" s="273">
        <f t="shared" si="66"/>
        <v>0</v>
      </c>
      <c r="K116" s="274"/>
      <c r="L116" s="228"/>
      <c r="M116" s="271"/>
      <c r="N116" s="272"/>
      <c r="O116" s="271"/>
      <c r="P116" s="272"/>
      <c r="Q116" s="271"/>
      <c r="R116" s="272"/>
      <c r="S116" s="273">
        <f t="shared" si="63"/>
        <v>0</v>
      </c>
      <c r="T116" s="274"/>
      <c r="U116" s="219"/>
      <c r="V116" s="271"/>
      <c r="W116" s="272"/>
      <c r="X116" s="271"/>
      <c r="Y116" s="272"/>
      <c r="Z116" s="271"/>
      <c r="AA116" s="272"/>
      <c r="AB116" s="273">
        <f t="shared" si="64"/>
        <v>0</v>
      </c>
      <c r="AC116" s="274"/>
      <c r="AD116" s="219"/>
      <c r="AE116" s="271"/>
      <c r="AF116" s="272"/>
      <c r="AG116" s="271"/>
      <c r="AH116" s="272"/>
      <c r="AI116" s="271"/>
      <c r="AJ116" s="272"/>
      <c r="AK116" s="273">
        <f t="shared" si="65"/>
        <v>0</v>
      </c>
      <c r="AL116" s="274"/>
      <c r="AM116" s="219"/>
    </row>
    <row r="117" spans="1:39" ht="80">
      <c r="A117" s="283" t="s">
        <v>26</v>
      </c>
      <c r="B117" s="284"/>
      <c r="C117" s="26"/>
      <c r="D117" s="232" t="s">
        <v>17</v>
      </c>
      <c r="E117" s="233" t="s">
        <v>23</v>
      </c>
      <c r="F117" s="232" t="s">
        <v>18</v>
      </c>
      <c r="G117" s="233" t="s">
        <v>23</v>
      </c>
      <c r="H117" s="232" t="s">
        <v>19</v>
      </c>
      <c r="I117" s="233" t="s">
        <v>23</v>
      </c>
      <c r="J117" s="234" t="s">
        <v>22</v>
      </c>
      <c r="K117" s="235" t="s">
        <v>24</v>
      </c>
      <c r="L117" s="220"/>
      <c r="M117" s="232" t="s">
        <v>17</v>
      </c>
      <c r="N117" s="233" t="s">
        <v>23</v>
      </c>
      <c r="O117" s="232" t="s">
        <v>18</v>
      </c>
      <c r="P117" s="233" t="s">
        <v>23</v>
      </c>
      <c r="Q117" s="232" t="s">
        <v>19</v>
      </c>
      <c r="R117" s="233" t="s">
        <v>23</v>
      </c>
      <c r="S117" s="234" t="s">
        <v>22</v>
      </c>
      <c r="T117" s="235" t="s">
        <v>24</v>
      </c>
      <c r="U117" s="219"/>
      <c r="V117" s="232" t="s">
        <v>17</v>
      </c>
      <c r="W117" s="233" t="s">
        <v>23</v>
      </c>
      <c r="X117" s="232" t="s">
        <v>18</v>
      </c>
      <c r="Y117" s="233" t="s">
        <v>23</v>
      </c>
      <c r="Z117" s="232" t="s">
        <v>19</v>
      </c>
      <c r="AA117" s="233" t="s">
        <v>23</v>
      </c>
      <c r="AB117" s="234" t="s">
        <v>22</v>
      </c>
      <c r="AC117" s="235" t="s">
        <v>24</v>
      </c>
      <c r="AD117" s="219"/>
      <c r="AE117" s="232" t="s">
        <v>17</v>
      </c>
      <c r="AF117" s="233" t="s">
        <v>23</v>
      </c>
      <c r="AG117" s="232" t="s">
        <v>18</v>
      </c>
      <c r="AH117" s="233" t="s">
        <v>23</v>
      </c>
      <c r="AI117" s="232" t="s">
        <v>19</v>
      </c>
      <c r="AJ117" s="233" t="s">
        <v>23</v>
      </c>
      <c r="AK117" s="234" t="s">
        <v>22</v>
      </c>
      <c r="AL117" s="235" t="s">
        <v>24</v>
      </c>
      <c r="AM117" s="219"/>
    </row>
    <row r="118" spans="1:39" ht="18" customHeight="1">
      <c r="A118" s="35"/>
      <c r="B118" s="10"/>
      <c r="C118" s="11"/>
      <c r="D118" s="246"/>
      <c r="E118" s="247"/>
      <c r="F118" s="248"/>
      <c r="G118" s="247"/>
      <c r="H118" s="248"/>
      <c r="I118" s="247"/>
      <c r="J118" s="257">
        <f t="shared" ref="J118:J128" si="67">D118+F118+H118</f>
        <v>0</v>
      </c>
      <c r="K118" s="250"/>
      <c r="L118" s="221"/>
      <c r="M118" s="246"/>
      <c r="N118" s="247"/>
      <c r="O118" s="248"/>
      <c r="P118" s="247"/>
      <c r="Q118" s="248"/>
      <c r="R118" s="247"/>
      <c r="S118" s="257">
        <f t="shared" ref="S118:S119" si="68">M118+O118+Q118</f>
        <v>0</v>
      </c>
      <c r="T118" s="250"/>
      <c r="U118" s="219"/>
      <c r="V118" s="246"/>
      <c r="W118" s="247"/>
      <c r="X118" s="248"/>
      <c r="Y118" s="247"/>
      <c r="Z118" s="248"/>
      <c r="AA118" s="247"/>
      <c r="AB118" s="257">
        <f t="shared" ref="AB118:AB119" si="69">V118+X118+Z118</f>
        <v>0</v>
      </c>
      <c r="AC118" s="250"/>
      <c r="AD118" s="219"/>
      <c r="AE118" s="246"/>
      <c r="AF118" s="247"/>
      <c r="AG118" s="248"/>
      <c r="AH118" s="247"/>
      <c r="AI118" s="248"/>
      <c r="AJ118" s="247"/>
      <c r="AK118" s="257">
        <f t="shared" ref="AK118:AK119" si="70">AE118+AG118+AI118</f>
        <v>0</v>
      </c>
      <c r="AL118" s="250"/>
      <c r="AM118" s="219"/>
    </row>
    <row r="119" spans="1:39" ht="16.75" customHeight="1">
      <c r="A119" s="67"/>
      <c r="B119" s="68"/>
      <c r="C119" s="69"/>
      <c r="D119" s="275"/>
      <c r="E119" s="276"/>
      <c r="F119" s="277"/>
      <c r="G119" s="276"/>
      <c r="H119" s="277"/>
      <c r="I119" s="276"/>
      <c r="J119" s="278">
        <f t="shared" si="67"/>
        <v>0</v>
      </c>
      <c r="K119" s="279"/>
      <c r="L119" s="230"/>
      <c r="M119" s="275"/>
      <c r="N119" s="276"/>
      <c r="O119" s="277"/>
      <c r="P119" s="276"/>
      <c r="Q119" s="277"/>
      <c r="R119" s="276"/>
      <c r="S119" s="278">
        <f t="shared" si="68"/>
        <v>0</v>
      </c>
      <c r="T119" s="279"/>
      <c r="U119" s="219"/>
      <c r="V119" s="275"/>
      <c r="W119" s="276"/>
      <c r="X119" s="277"/>
      <c r="Y119" s="276"/>
      <c r="Z119" s="277"/>
      <c r="AA119" s="276"/>
      <c r="AB119" s="278">
        <f t="shared" si="69"/>
        <v>0</v>
      </c>
      <c r="AC119" s="279"/>
      <c r="AD119" s="219"/>
      <c r="AE119" s="275"/>
      <c r="AF119" s="276"/>
      <c r="AG119" s="277"/>
      <c r="AH119" s="276"/>
      <c r="AI119" s="277"/>
      <c r="AJ119" s="276"/>
      <c r="AK119" s="278">
        <f t="shared" si="70"/>
        <v>0</v>
      </c>
      <c r="AL119" s="279"/>
      <c r="AM119" s="219"/>
    </row>
    <row r="120" spans="1:39" ht="18" hidden="1" customHeight="1">
      <c r="A120" s="35"/>
      <c r="B120" s="10"/>
      <c r="C120" s="11"/>
      <c r="D120" s="25"/>
      <c r="E120" s="198"/>
      <c r="F120" s="24"/>
      <c r="G120" s="198"/>
      <c r="H120" s="24"/>
      <c r="I120" s="198"/>
      <c r="J120" s="20">
        <f t="shared" si="67"/>
        <v>0</v>
      </c>
      <c r="K120" s="209"/>
      <c r="L120" s="121"/>
      <c r="T120" s="209"/>
    </row>
    <row r="121" spans="1:39" ht="16.75" hidden="1" customHeight="1">
      <c r="A121" s="36"/>
      <c r="B121" s="4"/>
      <c r="C121" s="5"/>
      <c r="D121" s="18"/>
      <c r="E121" s="199"/>
      <c r="F121" s="17"/>
      <c r="G121" s="199"/>
      <c r="H121" s="17"/>
      <c r="I121" s="199"/>
      <c r="J121" s="16">
        <f t="shared" si="67"/>
        <v>0</v>
      </c>
      <c r="K121" s="210"/>
      <c r="L121" s="121"/>
      <c r="T121" s="210"/>
    </row>
    <row r="122" spans="1:39" ht="18" hidden="1" customHeight="1">
      <c r="A122" s="36"/>
      <c r="B122" s="4"/>
      <c r="C122" s="5"/>
      <c r="D122" s="18"/>
      <c r="E122" s="199"/>
      <c r="F122" s="17"/>
      <c r="G122" s="199"/>
      <c r="H122" s="17"/>
      <c r="I122" s="199"/>
      <c r="J122" s="16">
        <f t="shared" si="67"/>
        <v>0</v>
      </c>
      <c r="K122" s="210"/>
      <c r="L122" s="121"/>
      <c r="T122" s="210"/>
    </row>
    <row r="123" spans="1:39" ht="16.75" hidden="1" customHeight="1">
      <c r="A123" s="36"/>
      <c r="B123" s="4"/>
      <c r="C123" s="5"/>
      <c r="D123" s="18"/>
      <c r="E123" s="199"/>
      <c r="F123" s="17"/>
      <c r="G123" s="199"/>
      <c r="H123" s="17"/>
      <c r="I123" s="199"/>
      <c r="J123" s="16">
        <f t="shared" si="67"/>
        <v>0</v>
      </c>
      <c r="K123" s="210"/>
      <c r="L123" s="121"/>
      <c r="T123" s="210"/>
    </row>
    <row r="124" spans="1:39" ht="18" hidden="1" customHeight="1">
      <c r="A124" s="36"/>
      <c r="B124" s="4"/>
      <c r="C124" s="5"/>
      <c r="D124" s="18"/>
      <c r="E124" s="199"/>
      <c r="F124" s="17"/>
      <c r="G124" s="199"/>
      <c r="H124" s="17"/>
      <c r="I124" s="199"/>
      <c r="J124" s="16">
        <f t="shared" si="67"/>
        <v>0</v>
      </c>
      <c r="K124" s="210"/>
      <c r="L124" s="121"/>
      <c r="T124" s="210"/>
    </row>
    <row r="125" spans="1:39" ht="18" hidden="1" customHeight="1">
      <c r="A125" s="34"/>
      <c r="B125" s="4"/>
      <c r="C125" s="5"/>
      <c r="D125" s="18"/>
      <c r="E125" s="199"/>
      <c r="F125" s="17"/>
      <c r="G125" s="199"/>
      <c r="H125" s="17"/>
      <c r="I125" s="199"/>
      <c r="J125" s="16">
        <f t="shared" si="67"/>
        <v>0</v>
      </c>
      <c r="K125" s="210"/>
      <c r="L125" s="121"/>
      <c r="T125" s="210"/>
    </row>
    <row r="126" spans="1:39" ht="16.75" hidden="1" customHeight="1">
      <c r="A126" s="36"/>
      <c r="B126" s="4"/>
      <c r="C126" s="5"/>
      <c r="D126" s="18"/>
      <c r="E126" s="199"/>
      <c r="F126" s="17"/>
      <c r="G126" s="199"/>
      <c r="H126" s="17"/>
      <c r="I126" s="199"/>
      <c r="J126" s="16">
        <f t="shared" si="67"/>
        <v>0</v>
      </c>
      <c r="K126" s="210"/>
      <c r="L126" s="121"/>
      <c r="T126" s="210"/>
    </row>
    <row r="127" spans="1:39" ht="16.75" hidden="1" customHeight="1">
      <c r="A127" s="36"/>
      <c r="B127" s="4"/>
      <c r="C127" s="5"/>
      <c r="D127" s="18"/>
      <c r="E127" s="199"/>
      <c r="F127" s="17"/>
      <c r="G127" s="199"/>
      <c r="H127" s="17"/>
      <c r="I127" s="199"/>
      <c r="J127" s="16">
        <f t="shared" si="67"/>
        <v>0</v>
      </c>
      <c r="K127" s="210"/>
      <c r="L127" s="121"/>
      <c r="T127" s="210"/>
    </row>
    <row r="128" spans="1:39" ht="18" hidden="1" customHeight="1" thickBot="1">
      <c r="A128" s="37"/>
      <c r="B128" s="8"/>
      <c r="C128" s="9"/>
      <c r="D128" s="23"/>
      <c r="E128" s="200"/>
      <c r="F128" s="22"/>
      <c r="G128" s="200"/>
      <c r="H128" s="22"/>
      <c r="I128" s="200"/>
      <c r="J128" s="21">
        <f t="shared" si="67"/>
        <v>0</v>
      </c>
      <c r="K128" s="211"/>
      <c r="L128" s="121"/>
      <c r="T128" s="211"/>
    </row>
    <row r="129" spans="10:20">
      <c r="K129" s="280"/>
      <c r="T129" s="280"/>
    </row>
    <row r="130" spans="10:20">
      <c r="J130" s="201"/>
      <c r="K130" s="214"/>
      <c r="L130" s="201"/>
      <c r="M130" s="213"/>
      <c r="N130" s="213"/>
      <c r="O130" s="213"/>
      <c r="P130" s="213"/>
      <c r="Q130" s="213"/>
      <c r="R130" s="213"/>
      <c r="S130" s="213"/>
      <c r="T130" s="214"/>
    </row>
    <row r="131" spans="10:20">
      <c r="J131" s="201"/>
      <c r="K131" s="214"/>
      <c r="L131" s="201"/>
      <c r="M131" s="213"/>
      <c r="N131" s="213"/>
      <c r="O131" s="213"/>
      <c r="P131" s="213"/>
      <c r="Q131" s="213"/>
      <c r="R131" s="213"/>
      <c r="S131" s="213"/>
      <c r="T131" s="214"/>
    </row>
    <row r="132" spans="10:20">
      <c r="J132" s="201"/>
      <c r="K132" s="214"/>
      <c r="L132" s="201"/>
      <c r="M132" s="213"/>
      <c r="N132" s="213"/>
      <c r="O132" s="213"/>
      <c r="P132" s="213"/>
      <c r="Q132" s="213"/>
      <c r="R132" s="213"/>
      <c r="S132" s="213"/>
      <c r="T132" s="214"/>
    </row>
    <row r="133" spans="10:20">
      <c r="J133" s="201"/>
      <c r="K133" s="214"/>
      <c r="L133" s="201"/>
      <c r="M133" s="213"/>
      <c r="N133" s="213"/>
      <c r="O133" s="213"/>
      <c r="P133" s="213"/>
      <c r="Q133" s="213"/>
      <c r="R133" s="213"/>
      <c r="S133" s="213"/>
      <c r="T133" s="214"/>
    </row>
    <row r="134" spans="10:20">
      <c r="J134" s="201"/>
      <c r="K134" s="214"/>
      <c r="L134" s="201"/>
      <c r="M134" s="213"/>
      <c r="N134" s="213"/>
      <c r="O134" s="213"/>
      <c r="P134" s="213"/>
      <c r="Q134" s="213"/>
      <c r="R134" s="213"/>
      <c r="S134" s="213"/>
      <c r="T134" s="214"/>
    </row>
    <row r="135" spans="10:20">
      <c r="J135" s="201"/>
      <c r="K135" s="214"/>
      <c r="L135" s="201"/>
      <c r="M135" s="213"/>
      <c r="N135" s="213"/>
      <c r="O135" s="213"/>
      <c r="P135" s="213"/>
      <c r="Q135" s="213"/>
      <c r="R135" s="213"/>
      <c r="S135" s="213"/>
      <c r="T135" s="214"/>
    </row>
    <row r="136" spans="10:20">
      <c r="J136" s="201"/>
      <c r="K136" s="214"/>
      <c r="L136" s="201"/>
      <c r="M136" s="213"/>
      <c r="N136" s="213"/>
      <c r="O136" s="213"/>
      <c r="P136" s="213"/>
      <c r="Q136" s="213"/>
      <c r="R136" s="213"/>
      <c r="S136" s="213"/>
      <c r="T136" s="214"/>
    </row>
    <row r="137" spans="10:20">
      <c r="J137" s="201"/>
      <c r="K137" s="214"/>
      <c r="L137" s="201"/>
      <c r="M137" s="213"/>
      <c r="N137" s="213"/>
      <c r="O137" s="213"/>
      <c r="P137" s="213"/>
      <c r="Q137" s="213"/>
      <c r="R137" s="213"/>
      <c r="S137" s="213"/>
      <c r="T137" s="214"/>
    </row>
    <row r="138" spans="10:20">
      <c r="J138" s="201"/>
      <c r="K138" s="214"/>
      <c r="L138" s="201"/>
      <c r="M138" s="213"/>
      <c r="N138" s="213"/>
      <c r="O138" s="213"/>
      <c r="P138" s="213"/>
      <c r="Q138" s="213"/>
      <c r="R138" s="213"/>
      <c r="S138" s="213"/>
      <c r="T138" s="214"/>
    </row>
    <row r="139" spans="10:20">
      <c r="J139" s="201"/>
      <c r="K139" s="214"/>
      <c r="L139" s="201"/>
      <c r="M139" s="213"/>
      <c r="N139" s="213"/>
      <c r="O139" s="213"/>
      <c r="P139" s="213"/>
      <c r="Q139" s="213"/>
      <c r="R139" s="213"/>
      <c r="S139" s="213"/>
      <c r="T139" s="214"/>
    </row>
    <row r="140" spans="10:20">
      <c r="J140" s="201"/>
      <c r="K140" s="214"/>
      <c r="L140" s="201"/>
      <c r="M140" s="213"/>
      <c r="N140" s="213"/>
      <c r="O140" s="213"/>
      <c r="P140" s="213"/>
      <c r="Q140" s="213"/>
      <c r="R140" s="213"/>
      <c r="S140" s="213"/>
      <c r="T140" s="214"/>
    </row>
    <row r="141" spans="10:20">
      <c r="J141" s="201"/>
      <c r="K141" s="214"/>
      <c r="L141" s="201"/>
      <c r="M141" s="213"/>
      <c r="N141" s="213"/>
      <c r="O141" s="213"/>
      <c r="P141" s="213"/>
      <c r="Q141" s="213"/>
      <c r="R141" s="213"/>
      <c r="S141" s="213"/>
      <c r="T141" s="214"/>
    </row>
    <row r="142" spans="10:20">
      <c r="J142" s="201"/>
      <c r="K142" s="214"/>
      <c r="L142" s="201"/>
      <c r="M142" s="213"/>
      <c r="N142" s="213"/>
      <c r="O142" s="213"/>
      <c r="P142" s="213"/>
      <c r="Q142" s="213"/>
      <c r="R142" s="213"/>
      <c r="S142" s="213"/>
      <c r="T142" s="214"/>
    </row>
    <row r="143" spans="10:20">
      <c r="J143" s="201"/>
      <c r="K143" s="214"/>
      <c r="L143" s="201"/>
      <c r="M143" s="213"/>
      <c r="N143" s="213"/>
      <c r="O143" s="213"/>
      <c r="P143" s="213"/>
      <c r="Q143" s="213"/>
      <c r="R143" s="213"/>
      <c r="S143" s="213"/>
      <c r="T143" s="214"/>
    </row>
    <row r="144" spans="10:20">
      <c r="J144" s="201"/>
      <c r="K144" s="214"/>
      <c r="L144" s="201"/>
      <c r="M144" s="213"/>
      <c r="N144" s="213"/>
      <c r="O144" s="213"/>
      <c r="P144" s="213"/>
      <c r="Q144" s="213"/>
      <c r="R144" s="213"/>
      <c r="S144" s="213"/>
      <c r="T144" s="214"/>
    </row>
    <row r="145" spans="10:20">
      <c r="J145" s="201"/>
      <c r="K145" s="214"/>
      <c r="L145" s="201"/>
      <c r="M145" s="213"/>
      <c r="N145" s="213"/>
      <c r="O145" s="213"/>
      <c r="P145" s="213"/>
      <c r="Q145" s="213"/>
      <c r="R145" s="213"/>
      <c r="S145" s="213"/>
      <c r="T145" s="214"/>
    </row>
    <row r="146" spans="10:20">
      <c r="J146" s="201"/>
      <c r="K146" s="214"/>
      <c r="L146" s="201"/>
      <c r="M146" s="213"/>
      <c r="N146" s="213"/>
      <c r="O146" s="213"/>
      <c r="P146" s="213"/>
      <c r="Q146" s="213"/>
      <c r="R146" s="213"/>
      <c r="S146" s="213"/>
      <c r="T146" s="214"/>
    </row>
    <row r="147" spans="10:20">
      <c r="J147" s="201"/>
      <c r="K147" s="214"/>
      <c r="L147" s="201"/>
      <c r="M147" s="213"/>
      <c r="N147" s="213"/>
      <c r="O147" s="213"/>
      <c r="P147" s="213"/>
      <c r="Q147" s="213"/>
      <c r="R147" s="213"/>
      <c r="S147" s="213"/>
      <c r="T147" s="214"/>
    </row>
    <row r="148" spans="10:20">
      <c r="J148" s="201"/>
      <c r="K148" s="214"/>
      <c r="L148" s="201"/>
      <c r="M148" s="213"/>
      <c r="N148" s="213"/>
      <c r="O148" s="213"/>
      <c r="P148" s="213"/>
      <c r="Q148" s="213"/>
      <c r="R148" s="213"/>
      <c r="S148" s="213"/>
      <c r="T148" s="214"/>
    </row>
    <row r="149" spans="10:20">
      <c r="J149" s="201"/>
      <c r="K149" s="214"/>
      <c r="L149" s="201"/>
      <c r="M149" s="213"/>
      <c r="N149" s="213"/>
      <c r="O149" s="213"/>
      <c r="P149" s="213"/>
      <c r="Q149" s="213"/>
      <c r="R149" s="213"/>
      <c r="S149" s="213"/>
      <c r="T149" s="214"/>
    </row>
    <row r="150" spans="10:20">
      <c r="J150" s="201"/>
      <c r="K150" s="214"/>
      <c r="L150" s="201"/>
      <c r="M150" s="213"/>
      <c r="N150" s="213"/>
      <c r="O150" s="213"/>
      <c r="P150" s="213"/>
      <c r="Q150" s="213"/>
      <c r="R150" s="213"/>
      <c r="S150" s="213"/>
      <c r="T150" s="214"/>
    </row>
    <row r="151" spans="10:20">
      <c r="J151" s="201"/>
      <c r="K151" s="214"/>
      <c r="L151" s="201"/>
      <c r="M151" s="213"/>
      <c r="N151" s="213"/>
      <c r="O151" s="213"/>
      <c r="P151" s="213"/>
      <c r="Q151" s="213"/>
      <c r="R151" s="213"/>
      <c r="S151" s="213"/>
      <c r="T151" s="214"/>
    </row>
    <row r="152" spans="10:20">
      <c r="J152" s="201"/>
      <c r="K152" s="214"/>
      <c r="L152" s="201"/>
      <c r="M152" s="213"/>
      <c r="N152" s="213"/>
      <c r="O152" s="213"/>
      <c r="P152" s="213"/>
      <c r="Q152" s="213"/>
      <c r="R152" s="213"/>
      <c r="S152" s="213"/>
      <c r="T152" s="214"/>
    </row>
    <row r="153" spans="10:20">
      <c r="J153" s="201"/>
      <c r="K153" s="214"/>
      <c r="L153" s="201"/>
      <c r="M153" s="213"/>
      <c r="N153" s="213"/>
      <c r="O153" s="213"/>
      <c r="P153" s="213"/>
      <c r="Q153" s="213"/>
      <c r="R153" s="213"/>
      <c r="S153" s="213"/>
      <c r="T153" s="214"/>
    </row>
    <row r="154" spans="10:20">
      <c r="J154" s="201"/>
      <c r="K154" s="214"/>
      <c r="L154" s="201"/>
      <c r="M154" s="213"/>
      <c r="N154" s="213"/>
      <c r="O154" s="213"/>
      <c r="P154" s="213"/>
      <c r="Q154" s="213"/>
      <c r="R154" s="213"/>
      <c r="S154" s="213"/>
      <c r="T154" s="214"/>
    </row>
    <row r="155" spans="10:20">
      <c r="J155" s="201"/>
      <c r="K155" s="214"/>
      <c r="L155" s="201"/>
      <c r="M155" s="213"/>
      <c r="N155" s="213"/>
      <c r="O155" s="213"/>
      <c r="P155" s="213"/>
      <c r="Q155" s="213"/>
      <c r="R155" s="213"/>
      <c r="S155" s="213"/>
      <c r="T155" s="214"/>
    </row>
    <row r="156" spans="10:20">
      <c r="J156" s="201"/>
      <c r="K156" s="214"/>
      <c r="L156" s="201"/>
      <c r="M156" s="213"/>
      <c r="N156" s="213"/>
      <c r="O156" s="213"/>
      <c r="P156" s="213"/>
      <c r="Q156" s="213"/>
      <c r="R156" s="213"/>
      <c r="S156" s="213"/>
      <c r="T156" s="214"/>
    </row>
    <row r="157" spans="10:20">
      <c r="J157" s="201"/>
      <c r="K157" s="214"/>
      <c r="L157" s="201"/>
      <c r="M157" s="213"/>
      <c r="N157" s="213"/>
      <c r="O157" s="213"/>
      <c r="P157" s="213"/>
      <c r="Q157" s="213"/>
      <c r="R157" s="213"/>
      <c r="S157" s="213"/>
      <c r="T157" s="214"/>
    </row>
    <row r="158" spans="10:20">
      <c r="J158" s="201"/>
      <c r="K158" s="214"/>
      <c r="L158" s="201"/>
      <c r="M158" s="213"/>
      <c r="N158" s="213"/>
      <c r="O158" s="213"/>
      <c r="P158" s="213"/>
      <c r="Q158" s="213"/>
      <c r="R158" s="213"/>
      <c r="S158" s="213"/>
      <c r="T158" s="214"/>
    </row>
    <row r="159" spans="10:20">
      <c r="J159" s="201"/>
      <c r="K159" s="214"/>
      <c r="L159" s="201"/>
      <c r="M159" s="213"/>
      <c r="N159" s="213"/>
      <c r="O159" s="213"/>
      <c r="P159" s="213"/>
      <c r="Q159" s="213"/>
      <c r="R159" s="213"/>
      <c r="S159" s="213"/>
      <c r="T159" s="214"/>
    </row>
    <row r="160" spans="10:20">
      <c r="J160" s="201"/>
      <c r="K160" s="214"/>
      <c r="L160" s="201"/>
      <c r="M160" s="213"/>
      <c r="N160" s="213"/>
      <c r="O160" s="213"/>
      <c r="P160" s="213"/>
      <c r="Q160" s="213"/>
      <c r="R160" s="213"/>
      <c r="S160" s="213"/>
      <c r="T160" s="214"/>
    </row>
    <row r="161" spans="10:20">
      <c r="J161" s="201"/>
      <c r="K161" s="214"/>
      <c r="L161" s="201"/>
      <c r="M161" s="213"/>
      <c r="N161" s="213"/>
      <c r="O161" s="213"/>
      <c r="P161" s="213"/>
      <c r="Q161" s="213"/>
      <c r="R161" s="213"/>
      <c r="S161" s="213"/>
      <c r="T161" s="214"/>
    </row>
    <row r="162" spans="10:20">
      <c r="J162" s="201"/>
      <c r="K162" s="214"/>
      <c r="L162" s="201"/>
      <c r="M162" s="213"/>
      <c r="N162" s="213"/>
      <c r="O162" s="213"/>
      <c r="P162" s="213"/>
      <c r="Q162" s="213"/>
      <c r="R162" s="213"/>
      <c r="S162" s="213"/>
      <c r="T162" s="214"/>
    </row>
    <row r="163" spans="10:20">
      <c r="J163" s="201"/>
      <c r="K163" s="214"/>
      <c r="L163" s="201"/>
      <c r="M163" s="213"/>
      <c r="N163" s="213"/>
      <c r="O163" s="213"/>
      <c r="P163" s="213"/>
      <c r="Q163" s="213"/>
      <c r="R163" s="213"/>
      <c r="S163" s="213"/>
      <c r="T163" s="214"/>
    </row>
    <row r="164" spans="10:20">
      <c r="J164" s="201"/>
      <c r="K164" s="214"/>
      <c r="L164" s="201"/>
      <c r="M164" s="213"/>
      <c r="N164" s="213"/>
      <c r="O164" s="213"/>
      <c r="P164" s="213"/>
      <c r="Q164" s="213"/>
      <c r="R164" s="213"/>
      <c r="S164" s="213"/>
      <c r="T164" s="214"/>
    </row>
    <row r="165" spans="10:20">
      <c r="J165" s="201"/>
      <c r="K165" s="214"/>
      <c r="L165" s="201"/>
      <c r="M165" s="213"/>
      <c r="N165" s="213"/>
      <c r="O165" s="213"/>
      <c r="P165" s="213"/>
      <c r="Q165" s="213"/>
      <c r="R165" s="213"/>
      <c r="S165" s="213"/>
      <c r="T165" s="214"/>
    </row>
    <row r="166" spans="10:20">
      <c r="J166" s="201"/>
      <c r="K166" s="214"/>
      <c r="L166" s="201"/>
      <c r="M166" s="213"/>
      <c r="N166" s="213"/>
      <c r="O166" s="213"/>
      <c r="P166" s="213"/>
      <c r="Q166" s="213"/>
      <c r="R166" s="213"/>
      <c r="S166" s="213"/>
      <c r="T166" s="214"/>
    </row>
    <row r="167" spans="10:20">
      <c r="J167" s="201"/>
      <c r="K167" s="214"/>
      <c r="L167" s="201"/>
      <c r="M167" s="213"/>
      <c r="N167" s="213"/>
      <c r="O167" s="213"/>
      <c r="P167" s="213"/>
      <c r="Q167" s="213"/>
      <c r="R167" s="213"/>
      <c r="S167" s="213"/>
      <c r="T167" s="214"/>
    </row>
    <row r="168" spans="10:20">
      <c r="J168" s="201"/>
      <c r="K168" s="214"/>
      <c r="L168" s="201"/>
      <c r="M168" s="213"/>
      <c r="N168" s="213"/>
      <c r="O168" s="213"/>
      <c r="P168" s="213"/>
      <c r="Q168" s="213"/>
      <c r="R168" s="213"/>
      <c r="S168" s="213"/>
      <c r="T168" s="214"/>
    </row>
    <row r="169" spans="10:20">
      <c r="J169" s="201"/>
      <c r="K169" s="214"/>
      <c r="L169" s="201"/>
      <c r="M169" s="213"/>
      <c r="N169" s="213"/>
      <c r="O169" s="213"/>
      <c r="P169" s="213"/>
      <c r="Q169" s="213"/>
      <c r="R169" s="213"/>
      <c r="S169" s="213"/>
      <c r="T169" s="214"/>
    </row>
    <row r="170" spans="10:20">
      <c r="J170" s="201"/>
      <c r="K170" s="214"/>
      <c r="L170" s="201"/>
      <c r="M170" s="213"/>
      <c r="N170" s="213"/>
      <c r="O170" s="213"/>
      <c r="P170" s="213"/>
      <c r="Q170" s="213"/>
      <c r="R170" s="213"/>
      <c r="S170" s="213"/>
      <c r="T170" s="214"/>
    </row>
    <row r="171" spans="10:20">
      <c r="J171" s="201"/>
      <c r="K171" s="214"/>
      <c r="L171" s="201"/>
      <c r="M171" s="213"/>
      <c r="N171" s="213"/>
      <c r="O171" s="213"/>
      <c r="P171" s="213"/>
      <c r="Q171" s="213"/>
      <c r="R171" s="213"/>
      <c r="S171" s="213"/>
      <c r="T171" s="214"/>
    </row>
    <row r="172" spans="10:20">
      <c r="J172" s="201"/>
      <c r="K172" s="214"/>
      <c r="L172" s="201"/>
      <c r="M172" s="213"/>
      <c r="N172" s="213"/>
      <c r="O172" s="213"/>
      <c r="P172" s="213"/>
      <c r="Q172" s="213"/>
      <c r="R172" s="213"/>
      <c r="S172" s="213"/>
      <c r="T172" s="214"/>
    </row>
    <row r="173" spans="10:20">
      <c r="J173" s="201"/>
      <c r="K173" s="214"/>
      <c r="L173" s="201"/>
      <c r="M173" s="213"/>
      <c r="N173" s="213"/>
      <c r="O173" s="213"/>
      <c r="P173" s="213"/>
      <c r="Q173" s="213"/>
      <c r="R173" s="213"/>
      <c r="S173" s="213"/>
      <c r="T173" s="214"/>
    </row>
    <row r="174" spans="10:20">
      <c r="J174" s="201"/>
      <c r="K174" s="214"/>
      <c r="L174" s="201"/>
      <c r="M174" s="213"/>
      <c r="N174" s="213"/>
      <c r="O174" s="213"/>
      <c r="P174" s="213"/>
      <c r="Q174" s="213"/>
      <c r="R174" s="213"/>
      <c r="S174" s="213"/>
      <c r="T174" s="214"/>
    </row>
    <row r="175" spans="10:20">
      <c r="J175" s="201"/>
      <c r="K175" s="214"/>
      <c r="L175" s="201"/>
      <c r="M175" s="213"/>
      <c r="N175" s="213"/>
      <c r="O175" s="213"/>
      <c r="P175" s="213"/>
      <c r="Q175" s="213"/>
      <c r="R175" s="213"/>
      <c r="S175" s="213"/>
      <c r="T175" s="214"/>
    </row>
    <row r="176" spans="10:20">
      <c r="J176" s="201"/>
      <c r="K176" s="214"/>
      <c r="L176" s="201"/>
      <c r="M176" s="213"/>
      <c r="N176" s="213"/>
      <c r="O176" s="213"/>
      <c r="P176" s="213"/>
      <c r="Q176" s="213"/>
      <c r="R176" s="213"/>
      <c r="S176" s="213"/>
      <c r="T176" s="214"/>
    </row>
    <row r="177" spans="10:20">
      <c r="J177" s="201"/>
      <c r="K177" s="214"/>
      <c r="L177" s="201"/>
      <c r="M177" s="213"/>
      <c r="N177" s="213"/>
      <c r="O177" s="213"/>
      <c r="P177" s="213"/>
      <c r="Q177" s="213"/>
      <c r="R177" s="213"/>
      <c r="S177" s="213"/>
      <c r="T177" s="214"/>
    </row>
    <row r="178" spans="10:20">
      <c r="J178" s="201"/>
      <c r="K178" s="214"/>
      <c r="L178" s="201"/>
      <c r="M178" s="213"/>
      <c r="N178" s="213"/>
      <c r="O178" s="213"/>
      <c r="P178" s="213"/>
      <c r="Q178" s="213"/>
      <c r="R178" s="213"/>
      <c r="S178" s="213"/>
      <c r="T178" s="214"/>
    </row>
    <row r="179" spans="10:20">
      <c r="J179" s="201"/>
      <c r="K179" s="214"/>
      <c r="L179" s="201"/>
      <c r="M179" s="213"/>
      <c r="N179" s="213"/>
      <c r="O179" s="213"/>
      <c r="P179" s="213"/>
      <c r="Q179" s="213"/>
      <c r="R179" s="213"/>
      <c r="S179" s="213"/>
      <c r="T179" s="214"/>
    </row>
    <row r="180" spans="10:20">
      <c r="J180" s="201"/>
      <c r="K180" s="214"/>
      <c r="L180" s="201"/>
      <c r="M180" s="213"/>
      <c r="N180" s="213"/>
      <c r="O180" s="213"/>
      <c r="P180" s="213"/>
      <c r="Q180" s="213"/>
      <c r="R180" s="213"/>
      <c r="S180" s="213"/>
      <c r="T180" s="214"/>
    </row>
    <row r="181" spans="10:20">
      <c r="J181" s="201"/>
      <c r="K181" s="214"/>
      <c r="L181" s="201"/>
      <c r="M181" s="213"/>
      <c r="N181" s="213"/>
      <c r="O181" s="213"/>
      <c r="P181" s="213"/>
      <c r="Q181" s="213"/>
      <c r="R181" s="213"/>
      <c r="S181" s="213"/>
      <c r="T181" s="214"/>
    </row>
    <row r="182" spans="10:20">
      <c r="J182" s="201"/>
      <c r="K182" s="214"/>
      <c r="L182" s="201"/>
      <c r="M182" s="213"/>
      <c r="N182" s="213"/>
      <c r="O182" s="213"/>
      <c r="P182" s="213"/>
      <c r="Q182" s="213"/>
      <c r="R182" s="213"/>
      <c r="S182" s="213"/>
      <c r="T182" s="214"/>
    </row>
    <row r="183" spans="10:20">
      <c r="J183" s="201"/>
      <c r="K183" s="214"/>
      <c r="L183" s="201"/>
      <c r="M183" s="213"/>
      <c r="N183" s="213"/>
      <c r="O183" s="213"/>
      <c r="P183" s="213"/>
      <c r="Q183" s="213"/>
      <c r="R183" s="213"/>
      <c r="S183" s="213"/>
      <c r="T183" s="214"/>
    </row>
    <row r="184" spans="10:20">
      <c r="J184" s="201"/>
      <c r="K184" s="214"/>
      <c r="L184" s="201"/>
      <c r="M184" s="213"/>
      <c r="N184" s="213"/>
      <c r="O184" s="213"/>
      <c r="P184" s="213"/>
      <c r="Q184" s="213"/>
      <c r="R184" s="213"/>
      <c r="S184" s="213"/>
      <c r="T184" s="214"/>
    </row>
    <row r="185" spans="10:20">
      <c r="J185" s="201"/>
      <c r="K185" s="214"/>
      <c r="L185" s="201"/>
      <c r="M185" s="213"/>
      <c r="N185" s="213"/>
      <c r="O185" s="213"/>
      <c r="P185" s="213"/>
      <c r="Q185" s="213"/>
      <c r="R185" s="213"/>
      <c r="S185" s="213"/>
      <c r="T185" s="214"/>
    </row>
    <row r="186" spans="10:20">
      <c r="J186" s="201"/>
      <c r="K186" s="214"/>
      <c r="L186" s="201"/>
      <c r="M186" s="213"/>
      <c r="N186" s="213"/>
      <c r="O186" s="213"/>
      <c r="P186" s="213"/>
      <c r="Q186" s="213"/>
      <c r="R186" s="213"/>
      <c r="S186" s="213"/>
      <c r="T186" s="214"/>
    </row>
    <row r="187" spans="10:20">
      <c r="J187" s="201"/>
      <c r="K187" s="214"/>
      <c r="L187" s="201"/>
      <c r="M187" s="213"/>
      <c r="N187" s="213"/>
      <c r="O187" s="213"/>
      <c r="P187" s="213"/>
      <c r="Q187" s="213"/>
      <c r="R187" s="213"/>
      <c r="S187" s="213"/>
      <c r="T187" s="214"/>
    </row>
    <row r="188" spans="10:20">
      <c r="J188" s="201"/>
      <c r="K188" s="214"/>
      <c r="L188" s="201"/>
      <c r="M188" s="213"/>
      <c r="N188" s="213"/>
      <c r="O188" s="213"/>
      <c r="P188" s="213"/>
      <c r="Q188" s="213"/>
      <c r="R188" s="213"/>
      <c r="S188" s="213"/>
      <c r="T188" s="214"/>
    </row>
    <row r="189" spans="10:20">
      <c r="J189" s="201"/>
      <c r="K189" s="214"/>
      <c r="L189" s="201"/>
      <c r="M189" s="213"/>
      <c r="N189" s="213"/>
      <c r="O189" s="213"/>
      <c r="P189" s="213"/>
      <c r="Q189" s="213"/>
      <c r="R189" s="213"/>
      <c r="S189" s="213"/>
      <c r="T189" s="214"/>
    </row>
    <row r="190" spans="10:20">
      <c r="J190" s="201"/>
      <c r="K190" s="214"/>
      <c r="L190" s="201"/>
      <c r="M190" s="213"/>
      <c r="N190" s="213"/>
      <c r="O190" s="213"/>
      <c r="P190" s="213"/>
      <c r="Q190" s="213"/>
      <c r="R190" s="213"/>
      <c r="S190" s="213"/>
      <c r="T190" s="214"/>
    </row>
    <row r="191" spans="10:20">
      <c r="J191" s="201"/>
      <c r="K191" s="214"/>
      <c r="L191" s="201"/>
      <c r="M191" s="213"/>
      <c r="N191" s="213"/>
      <c r="O191" s="213"/>
      <c r="P191" s="213"/>
      <c r="Q191" s="213"/>
      <c r="R191" s="213"/>
      <c r="S191" s="213"/>
      <c r="T191" s="214"/>
    </row>
    <row r="192" spans="10:20">
      <c r="J192" s="201"/>
      <c r="K192" s="214"/>
      <c r="L192" s="201"/>
      <c r="M192" s="213"/>
      <c r="N192" s="213"/>
      <c r="O192" s="213"/>
      <c r="P192" s="213"/>
      <c r="Q192" s="213"/>
      <c r="R192" s="213"/>
      <c r="S192" s="213"/>
      <c r="T192" s="214"/>
    </row>
    <row r="193" spans="10:20">
      <c r="J193" s="201"/>
      <c r="K193" s="214"/>
      <c r="L193" s="201"/>
      <c r="M193" s="213"/>
      <c r="N193" s="213"/>
      <c r="O193" s="213"/>
      <c r="P193" s="213"/>
      <c r="Q193" s="213"/>
      <c r="R193" s="213"/>
      <c r="S193" s="213"/>
      <c r="T193" s="214"/>
    </row>
    <row r="194" spans="10:20">
      <c r="J194" s="201"/>
      <c r="K194" s="214"/>
      <c r="L194" s="201"/>
      <c r="M194" s="213"/>
      <c r="N194" s="213"/>
      <c r="O194" s="213"/>
      <c r="P194" s="213"/>
      <c r="Q194" s="213"/>
      <c r="R194" s="213"/>
      <c r="S194" s="213"/>
      <c r="T194" s="214"/>
    </row>
    <row r="195" spans="10:20">
      <c r="J195" s="201"/>
      <c r="K195" s="214"/>
      <c r="L195" s="201"/>
      <c r="M195" s="213"/>
      <c r="N195" s="213"/>
      <c r="O195" s="213"/>
      <c r="P195" s="213"/>
      <c r="Q195" s="213"/>
      <c r="R195" s="213"/>
      <c r="S195" s="213"/>
      <c r="T195" s="214"/>
    </row>
    <row r="196" spans="10:20">
      <c r="J196" s="201"/>
      <c r="K196" s="214"/>
      <c r="L196" s="201"/>
      <c r="M196" s="213"/>
      <c r="N196" s="213"/>
      <c r="O196" s="213"/>
      <c r="P196" s="213"/>
      <c r="Q196" s="213"/>
      <c r="R196" s="213"/>
      <c r="S196" s="213"/>
      <c r="T196" s="214"/>
    </row>
    <row r="197" spans="10:20">
      <c r="J197" s="201"/>
      <c r="K197" s="214"/>
      <c r="L197" s="201"/>
      <c r="M197" s="213"/>
      <c r="N197" s="213"/>
      <c r="O197" s="213"/>
      <c r="P197" s="213"/>
      <c r="Q197" s="213"/>
      <c r="R197" s="213"/>
      <c r="S197" s="213"/>
      <c r="T197" s="214"/>
    </row>
    <row r="198" spans="10:20">
      <c r="J198" s="201"/>
      <c r="K198" s="214"/>
      <c r="L198" s="201"/>
      <c r="M198" s="213"/>
      <c r="N198" s="213"/>
      <c r="O198" s="213"/>
      <c r="P198" s="213"/>
      <c r="Q198" s="213"/>
      <c r="R198" s="213"/>
      <c r="S198" s="213"/>
      <c r="T198" s="214"/>
    </row>
    <row r="199" spans="10:20">
      <c r="J199" s="201"/>
      <c r="K199" s="214"/>
      <c r="L199" s="201"/>
      <c r="M199" s="213"/>
      <c r="N199" s="213"/>
      <c r="O199" s="213"/>
      <c r="P199" s="213"/>
      <c r="Q199" s="213"/>
      <c r="R199" s="213"/>
      <c r="S199" s="213"/>
      <c r="T199" s="214"/>
    </row>
    <row r="200" spans="10:20">
      <c r="J200" s="201"/>
      <c r="K200" s="214"/>
      <c r="L200" s="201"/>
      <c r="M200" s="213"/>
      <c r="N200" s="213"/>
      <c r="O200" s="213"/>
      <c r="P200" s="213"/>
      <c r="Q200" s="213"/>
      <c r="R200" s="213"/>
      <c r="S200" s="213"/>
      <c r="T200" s="214"/>
    </row>
    <row r="201" spans="10:20">
      <c r="J201" s="201"/>
      <c r="K201" s="214"/>
      <c r="L201" s="201"/>
      <c r="M201" s="213"/>
      <c r="N201" s="213"/>
      <c r="O201" s="213"/>
      <c r="P201" s="213"/>
      <c r="Q201" s="213"/>
      <c r="R201" s="213"/>
      <c r="S201" s="213"/>
      <c r="T201" s="214"/>
    </row>
    <row r="202" spans="10:20">
      <c r="J202" s="201"/>
      <c r="K202" s="214"/>
      <c r="L202" s="201"/>
      <c r="M202" s="213"/>
      <c r="N202" s="213"/>
      <c r="O202" s="213"/>
      <c r="P202" s="213"/>
      <c r="Q202" s="213"/>
      <c r="R202" s="213"/>
      <c r="S202" s="213"/>
      <c r="T202" s="214"/>
    </row>
    <row r="203" spans="10:20">
      <c r="J203" s="201"/>
      <c r="K203" s="214"/>
      <c r="L203" s="201"/>
      <c r="M203" s="213"/>
      <c r="N203" s="213"/>
      <c r="O203" s="213"/>
      <c r="P203" s="213"/>
      <c r="Q203" s="213"/>
      <c r="R203" s="213"/>
      <c r="S203" s="213"/>
      <c r="T203" s="214"/>
    </row>
    <row r="204" spans="10:20">
      <c r="J204" s="201"/>
      <c r="K204" s="214"/>
      <c r="L204" s="201"/>
      <c r="M204" s="213"/>
      <c r="N204" s="213"/>
      <c r="O204" s="213"/>
      <c r="P204" s="213"/>
      <c r="Q204" s="213"/>
      <c r="R204" s="213"/>
      <c r="S204" s="213"/>
      <c r="T204" s="214"/>
    </row>
    <row r="205" spans="10:20">
      <c r="J205" s="201"/>
      <c r="K205" s="214"/>
      <c r="L205" s="201"/>
      <c r="M205" s="213"/>
      <c r="N205" s="213"/>
      <c r="O205" s="213"/>
      <c r="P205" s="213"/>
      <c r="Q205" s="213"/>
      <c r="R205" s="213"/>
      <c r="S205" s="213"/>
      <c r="T205" s="214"/>
    </row>
    <row r="206" spans="10:20">
      <c r="J206" s="201"/>
      <c r="K206" s="214"/>
      <c r="L206" s="201"/>
      <c r="M206" s="213"/>
      <c r="N206" s="213"/>
      <c r="O206" s="213"/>
      <c r="P206" s="213"/>
      <c r="Q206" s="213"/>
      <c r="R206" s="213"/>
      <c r="S206" s="213"/>
      <c r="T206" s="214"/>
    </row>
    <row r="207" spans="10:20">
      <c r="J207" s="201"/>
      <c r="K207" s="214"/>
      <c r="L207" s="201"/>
      <c r="M207" s="213"/>
      <c r="N207" s="213"/>
      <c r="O207" s="213"/>
      <c r="P207" s="213"/>
      <c r="Q207" s="213"/>
      <c r="R207" s="213"/>
      <c r="S207" s="213"/>
      <c r="T207" s="214"/>
    </row>
    <row r="208" spans="10:20">
      <c r="J208" s="201"/>
      <c r="K208" s="214"/>
      <c r="L208" s="201"/>
      <c r="M208" s="213"/>
      <c r="N208" s="213"/>
      <c r="O208" s="213"/>
      <c r="P208" s="213"/>
      <c r="Q208" s="213"/>
      <c r="R208" s="213"/>
      <c r="S208" s="213"/>
      <c r="T208" s="214"/>
    </row>
    <row r="209" spans="10:20">
      <c r="J209" s="201"/>
      <c r="K209" s="214"/>
      <c r="L209" s="201"/>
      <c r="M209" s="213"/>
      <c r="N209" s="213"/>
      <c r="O209" s="213"/>
      <c r="P209" s="213"/>
      <c r="Q209" s="213"/>
      <c r="R209" s="213"/>
      <c r="S209" s="213"/>
      <c r="T209" s="214"/>
    </row>
    <row r="210" spans="10:20">
      <c r="J210" s="201"/>
      <c r="K210" s="214"/>
      <c r="L210" s="201"/>
      <c r="M210" s="213"/>
      <c r="N210" s="213"/>
      <c r="O210" s="213"/>
      <c r="P210" s="213"/>
      <c r="Q210" s="213"/>
      <c r="R210" s="213"/>
      <c r="S210" s="213"/>
      <c r="T210" s="214"/>
    </row>
    <row r="211" spans="10:20">
      <c r="J211" s="201"/>
      <c r="K211" s="214"/>
      <c r="L211" s="201"/>
      <c r="M211" s="213"/>
      <c r="N211" s="213"/>
      <c r="O211" s="213"/>
      <c r="P211" s="213"/>
      <c r="Q211" s="213"/>
      <c r="R211" s="213"/>
      <c r="S211" s="213"/>
      <c r="T211" s="214"/>
    </row>
    <row r="212" spans="10:20">
      <c r="J212" s="201"/>
      <c r="K212" s="214"/>
      <c r="L212" s="201"/>
      <c r="M212" s="213"/>
      <c r="N212" s="213"/>
      <c r="O212" s="213"/>
      <c r="P212" s="213"/>
      <c r="Q212" s="213"/>
      <c r="R212" s="213"/>
      <c r="S212" s="213"/>
      <c r="T212" s="214"/>
    </row>
    <row r="213" spans="10:20">
      <c r="J213" s="201"/>
      <c r="K213" s="214"/>
      <c r="L213" s="201"/>
      <c r="M213" s="213"/>
      <c r="N213" s="213"/>
      <c r="O213" s="213"/>
      <c r="P213" s="213"/>
      <c r="Q213" s="213"/>
      <c r="R213" s="213"/>
      <c r="S213" s="213"/>
      <c r="T213" s="214"/>
    </row>
    <row r="214" spans="10:20">
      <c r="J214" s="201"/>
      <c r="K214" s="214"/>
      <c r="L214" s="201"/>
      <c r="M214" s="213"/>
      <c r="N214" s="213"/>
      <c r="O214" s="213"/>
      <c r="P214" s="213"/>
      <c r="Q214" s="213"/>
      <c r="R214" s="213"/>
      <c r="S214" s="213"/>
      <c r="T214" s="214"/>
    </row>
    <row r="215" spans="10:20">
      <c r="J215" s="201"/>
      <c r="K215" s="214"/>
      <c r="L215" s="201"/>
      <c r="M215" s="213"/>
      <c r="N215" s="213"/>
      <c r="O215" s="213"/>
      <c r="P215" s="213"/>
      <c r="Q215" s="213"/>
      <c r="R215" s="213"/>
      <c r="S215" s="213"/>
      <c r="T215" s="214"/>
    </row>
    <row r="216" spans="10:20">
      <c r="J216" s="201"/>
      <c r="K216" s="214"/>
      <c r="L216" s="201"/>
      <c r="M216" s="213"/>
      <c r="N216" s="213"/>
      <c r="O216" s="213"/>
      <c r="P216" s="213"/>
      <c r="Q216" s="213"/>
      <c r="R216" s="213"/>
      <c r="S216" s="213"/>
      <c r="T216" s="214"/>
    </row>
    <row r="217" spans="10:20">
      <c r="J217" s="201"/>
      <c r="K217" s="214"/>
      <c r="L217" s="201"/>
      <c r="M217" s="213"/>
      <c r="N217" s="213"/>
      <c r="O217" s="213"/>
      <c r="P217" s="213"/>
      <c r="Q217" s="213"/>
      <c r="R217" s="213"/>
      <c r="S217" s="213"/>
      <c r="T217" s="214"/>
    </row>
    <row r="218" spans="10:20">
      <c r="J218" s="201"/>
      <c r="K218" s="214"/>
      <c r="L218" s="201"/>
      <c r="M218" s="213"/>
      <c r="N218" s="213"/>
      <c r="O218" s="213"/>
      <c r="P218" s="213"/>
      <c r="Q218" s="213"/>
      <c r="R218" s="213"/>
      <c r="S218" s="213"/>
      <c r="T218" s="214"/>
    </row>
    <row r="219" spans="10:20">
      <c r="J219" s="201"/>
      <c r="K219" s="214"/>
      <c r="L219" s="201"/>
      <c r="M219" s="213"/>
      <c r="N219" s="213"/>
      <c r="O219" s="213"/>
      <c r="P219" s="213"/>
      <c r="Q219" s="213"/>
      <c r="R219" s="213"/>
      <c r="S219" s="213"/>
      <c r="T219" s="214"/>
    </row>
    <row r="220" spans="10:20">
      <c r="J220" s="201"/>
      <c r="K220" s="214"/>
      <c r="L220" s="201"/>
      <c r="M220" s="213"/>
      <c r="N220" s="213"/>
      <c r="O220" s="213"/>
      <c r="P220" s="213"/>
      <c r="Q220" s="213"/>
      <c r="R220" s="213"/>
      <c r="S220" s="213"/>
      <c r="T220" s="214"/>
    </row>
  </sheetData>
  <sheetProtection selectLockedCells="1" selectUnlockedCells="1"/>
  <sortState ref="A75:K78">
    <sortCondition descending="1" ref="J75:J78"/>
  </sortState>
  <mergeCells count="12">
    <mergeCell ref="AE1:AK1"/>
    <mergeCell ref="V1:AB1"/>
    <mergeCell ref="M1:S1"/>
    <mergeCell ref="D1:J1"/>
    <mergeCell ref="A117:B117"/>
    <mergeCell ref="A29:B29"/>
    <mergeCell ref="A59:B59"/>
    <mergeCell ref="A87:B87"/>
    <mergeCell ref="A102:B102"/>
    <mergeCell ref="A97:B97"/>
    <mergeCell ref="A90:B90"/>
    <mergeCell ref="A50:B50"/>
  </mergeCells>
  <phoneticPr fontId="0" type="noConversion"/>
  <pageMargins left="0.19685039370078741" right="0.19685039370078741" top="0.59055118110236227" bottom="0.59055118110236227" header="0.31496062992125984" footer="0.31496062992125984"/>
  <headerFooter alignWithMargins="0">
    <oddHeader>&amp;L&amp;"Arial Rounded MT Bold,Normal"&amp;16AERE&amp;R&amp;D</oddHeader>
    <oddFooter>&amp;Lpréparé par: S.Nerbonne</oddFooter>
  </headerFooter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52"/>
  <sheetViews>
    <sheetView topLeftCell="B1" workbookViewId="0">
      <selection activeCell="AA12" sqref="AA12"/>
    </sheetView>
  </sheetViews>
  <sheetFormatPr baseColWidth="10" defaultColWidth="8.83203125" defaultRowHeight="12" x14ac:dyDescent="0"/>
  <cols>
    <col min="1" max="1" width="25.33203125" customWidth="1"/>
    <col min="2" max="2" width="11.6640625" customWidth="1"/>
    <col min="3" max="3" width="5.5" customWidth="1"/>
    <col min="4" max="4" width="12" customWidth="1"/>
    <col min="5" max="16" width="11.5" hidden="1" customWidth="1"/>
    <col min="17" max="28" width="11.5" customWidth="1"/>
    <col min="29" max="29" width="8.5" hidden="1" customWidth="1"/>
    <col min="30" max="30" width="9" hidden="1" customWidth="1"/>
    <col min="31" max="31" width="5.33203125" hidden="1" customWidth="1"/>
    <col min="32" max="32" width="10.33203125" hidden="1" customWidth="1"/>
    <col min="33" max="33" width="9.6640625" hidden="1" customWidth="1"/>
    <col min="34" max="34" width="8.33203125" hidden="1" customWidth="1"/>
    <col min="35" max="35" width="10.1640625" hidden="1" customWidth="1"/>
    <col min="36" max="36" width="11.5" hidden="1" customWidth="1"/>
    <col min="37" max="37" width="9.5" hidden="1" customWidth="1"/>
    <col min="38" max="38" width="7.1640625" hidden="1" customWidth="1"/>
    <col min="39" max="242" width="11.5" customWidth="1"/>
  </cols>
  <sheetData>
    <row r="1" spans="1:38" ht="31" customHeight="1" thickBot="1">
      <c r="A1" s="312" t="s">
        <v>27</v>
      </c>
      <c r="B1" s="313"/>
      <c r="C1" s="313"/>
      <c r="D1" s="313"/>
      <c r="E1" s="289" t="s">
        <v>39</v>
      </c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/>
      <c r="Q1" s="295" t="s">
        <v>114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7"/>
      <c r="AC1" s="309" t="s">
        <v>38</v>
      </c>
      <c r="AD1" s="310"/>
      <c r="AE1" s="310"/>
      <c r="AF1" s="310"/>
      <c r="AG1" s="310"/>
      <c r="AH1" s="310"/>
      <c r="AI1" s="310"/>
      <c r="AJ1" s="310"/>
      <c r="AK1" s="310"/>
      <c r="AL1" s="310"/>
    </row>
    <row r="2" spans="1:38" ht="26" customHeight="1" thickBot="1">
      <c r="A2" s="301" t="s">
        <v>0</v>
      </c>
      <c r="B2" s="303" t="s">
        <v>1</v>
      </c>
      <c r="C2" s="112"/>
      <c r="D2" s="316" t="s">
        <v>2</v>
      </c>
      <c r="E2" s="292" t="s">
        <v>36</v>
      </c>
      <c r="F2" s="293"/>
      <c r="G2" s="294"/>
      <c r="H2" s="289" t="s">
        <v>37</v>
      </c>
      <c r="I2" s="290"/>
      <c r="J2" s="290"/>
      <c r="K2" s="290"/>
      <c r="L2" s="290"/>
      <c r="M2" s="290"/>
      <c r="N2" s="290"/>
      <c r="O2" s="291"/>
      <c r="P2" s="56"/>
      <c r="Q2" s="298" t="s">
        <v>36</v>
      </c>
      <c r="R2" s="299"/>
      <c r="S2" s="300"/>
      <c r="T2" s="295" t="s">
        <v>37</v>
      </c>
      <c r="U2" s="296"/>
      <c r="V2" s="296"/>
      <c r="W2" s="296"/>
      <c r="X2" s="296"/>
      <c r="Y2" s="296"/>
      <c r="Z2" s="296"/>
      <c r="AA2" s="296"/>
      <c r="AB2" s="173"/>
      <c r="AC2" s="307" t="s">
        <v>36</v>
      </c>
      <c r="AD2" s="307"/>
      <c r="AE2" s="308"/>
      <c r="AF2" s="309" t="s">
        <v>37</v>
      </c>
      <c r="AG2" s="310"/>
      <c r="AH2" s="310"/>
      <c r="AI2" s="310"/>
      <c r="AJ2" s="310"/>
      <c r="AK2" s="310"/>
      <c r="AL2" s="310"/>
    </row>
    <row r="3" spans="1:38" ht="87.75" customHeight="1" thickBot="1">
      <c r="A3" s="302"/>
      <c r="B3" s="304"/>
      <c r="C3" s="113"/>
      <c r="D3" s="317"/>
      <c r="E3" s="49" t="s">
        <v>28</v>
      </c>
      <c r="F3" s="50" t="s">
        <v>29</v>
      </c>
      <c r="G3" s="51" t="s">
        <v>23</v>
      </c>
      <c r="H3" s="52" t="s">
        <v>34</v>
      </c>
      <c r="I3" s="50" t="s">
        <v>35</v>
      </c>
      <c r="J3" s="50" t="s">
        <v>40</v>
      </c>
      <c r="K3" s="50" t="s">
        <v>42</v>
      </c>
      <c r="L3" s="50" t="s">
        <v>31</v>
      </c>
      <c r="M3" s="50" t="s">
        <v>30</v>
      </c>
      <c r="N3" s="50" t="s">
        <v>33</v>
      </c>
      <c r="O3" s="51" t="s">
        <v>23</v>
      </c>
      <c r="P3" s="53" t="s">
        <v>24</v>
      </c>
      <c r="Q3" s="76" t="s">
        <v>28</v>
      </c>
      <c r="R3" s="58" t="s">
        <v>29</v>
      </c>
      <c r="S3" s="59" t="s">
        <v>23</v>
      </c>
      <c r="T3" s="57" t="s">
        <v>34</v>
      </c>
      <c r="U3" s="58" t="s">
        <v>35</v>
      </c>
      <c r="V3" s="58" t="s">
        <v>40</v>
      </c>
      <c r="W3" s="58" t="s">
        <v>42</v>
      </c>
      <c r="X3" s="58" t="s">
        <v>31</v>
      </c>
      <c r="Y3" s="58" t="s">
        <v>30</v>
      </c>
      <c r="Z3" s="58" t="s">
        <v>33</v>
      </c>
      <c r="AA3" s="59" t="s">
        <v>23</v>
      </c>
      <c r="AB3" s="174" t="s">
        <v>24</v>
      </c>
      <c r="AC3" s="76" t="s">
        <v>28</v>
      </c>
      <c r="AD3" s="58" t="s">
        <v>29</v>
      </c>
      <c r="AE3" s="59" t="s">
        <v>23</v>
      </c>
      <c r="AF3" s="52" t="s">
        <v>34</v>
      </c>
      <c r="AG3" s="50" t="s">
        <v>35</v>
      </c>
      <c r="AH3" s="50" t="s">
        <v>75</v>
      </c>
      <c r="AI3" s="50" t="s">
        <v>73</v>
      </c>
      <c r="AJ3" s="50" t="s">
        <v>74</v>
      </c>
      <c r="AK3" s="50" t="s">
        <v>30</v>
      </c>
      <c r="AL3" s="50" t="s">
        <v>33</v>
      </c>
    </row>
    <row r="4" spans="1:38" ht="19.75" customHeight="1" thickBot="1">
      <c r="A4" s="90" t="s">
        <v>115</v>
      </c>
      <c r="B4" s="91"/>
      <c r="C4" s="114"/>
      <c r="D4" s="92">
        <v>6</v>
      </c>
      <c r="E4" s="42"/>
      <c r="F4" s="14">
        <f>(100-E4)*1.5</f>
        <v>150</v>
      </c>
      <c r="G4" s="43"/>
      <c r="H4" s="40"/>
      <c r="I4" s="14"/>
      <c r="J4" s="14"/>
      <c r="K4" s="14"/>
      <c r="L4" s="14"/>
      <c r="M4" s="41">
        <f>H4+I4+L4</f>
        <v>0</v>
      </c>
      <c r="N4" s="41">
        <f>F4+M4</f>
        <v>150</v>
      </c>
      <c r="O4" s="43"/>
      <c r="P4" s="128" t="e">
        <f ca="1">((7-O4)*nbre())*1.25</f>
        <v>#NAME?</v>
      </c>
      <c r="Q4" s="158">
        <v>58.571399999999997</v>
      </c>
      <c r="R4" s="102">
        <f>(100-Q4)*1.5</f>
        <v>62.142900000000004</v>
      </c>
      <c r="S4" s="103"/>
      <c r="T4" s="158"/>
      <c r="U4" s="102"/>
      <c r="V4" s="102"/>
      <c r="W4" s="102"/>
      <c r="X4" s="102"/>
      <c r="Y4" s="161">
        <f>T4+U4+X4</f>
        <v>0</v>
      </c>
      <c r="Z4" s="161">
        <f>R4+Y4</f>
        <v>62.142900000000004</v>
      </c>
      <c r="AA4" s="206" t="s">
        <v>159</v>
      </c>
      <c r="AB4" s="54" t="e">
        <f ca="1">(7-AA4)*nbre()</f>
        <v>#VALUE!</v>
      </c>
      <c r="AC4" s="61"/>
      <c r="AD4" s="61">
        <f>(100-AC4)*1.5</f>
        <v>150</v>
      </c>
      <c r="AE4" s="77"/>
      <c r="AF4" s="40"/>
      <c r="AG4" s="14"/>
      <c r="AH4" s="14"/>
      <c r="AI4" s="71"/>
      <c r="AJ4" s="71"/>
      <c r="AK4" s="41">
        <f>AF4+AG4+AJ4</f>
        <v>0</v>
      </c>
      <c r="AL4" s="41"/>
    </row>
    <row r="5" spans="1:38" ht="19.75" customHeight="1" thickBot="1">
      <c r="A5" s="93" t="s">
        <v>70</v>
      </c>
      <c r="B5" s="39"/>
      <c r="C5" s="115"/>
      <c r="D5" s="94">
        <v>5</v>
      </c>
      <c r="E5" s="70"/>
      <c r="F5" s="71"/>
      <c r="G5" s="72"/>
      <c r="H5" s="73"/>
      <c r="I5" s="71"/>
      <c r="J5" s="71"/>
      <c r="K5" s="71"/>
      <c r="L5" s="71"/>
      <c r="M5" s="74"/>
      <c r="N5" s="74"/>
      <c r="O5" s="72"/>
      <c r="P5" s="128"/>
      <c r="Q5" s="132">
        <v>68.095200000000006</v>
      </c>
      <c r="R5" s="61">
        <f t="shared" ref="R5:R10" si="0">(100-Q5)*1.5</f>
        <v>47.857199999999992</v>
      </c>
      <c r="S5" s="133"/>
      <c r="T5" s="132">
        <v>4</v>
      </c>
      <c r="U5" s="61"/>
      <c r="V5" s="61">
        <v>100</v>
      </c>
      <c r="W5" s="61"/>
      <c r="X5" s="61">
        <v>6.7759999999999998</v>
      </c>
      <c r="Y5" s="99">
        <f t="shared" ref="Y5:Y11" si="1">T5+U5+X5</f>
        <v>10.776</v>
      </c>
      <c r="Z5" s="99">
        <f t="shared" ref="Z5:Z10" si="2">R5+Y5</f>
        <v>58.633199999999988</v>
      </c>
      <c r="AA5" s="133">
        <v>1</v>
      </c>
      <c r="AB5" s="75"/>
      <c r="AC5" s="61">
        <v>64.760000000000005</v>
      </c>
      <c r="AD5" s="61">
        <f t="shared" ref="AD5:AD11" si="3">(100-AC5)*1.5</f>
        <v>52.859999999999992</v>
      </c>
      <c r="AE5" s="77">
        <v>2</v>
      </c>
      <c r="AF5" s="40"/>
      <c r="AG5" s="14"/>
      <c r="AH5" s="109">
        <v>114</v>
      </c>
      <c r="AI5" s="61">
        <v>108</v>
      </c>
      <c r="AJ5" s="61"/>
      <c r="AK5" s="110">
        <f t="shared" ref="AK5:AK11" si="4">AF5+AG5+AJ5</f>
        <v>0</v>
      </c>
      <c r="AL5" s="41">
        <f t="shared" ref="AL5:AL11" si="5">AD5+AK5</f>
        <v>52.859999999999992</v>
      </c>
    </row>
    <row r="6" spans="1:38" ht="19.75" customHeight="1" thickBot="1">
      <c r="A6" s="93" t="s">
        <v>116</v>
      </c>
      <c r="B6" s="39"/>
      <c r="C6" s="115"/>
      <c r="D6" s="94">
        <v>7</v>
      </c>
      <c r="E6" s="70"/>
      <c r="F6" s="71"/>
      <c r="G6" s="72"/>
      <c r="H6" s="73"/>
      <c r="I6" s="71"/>
      <c r="J6" s="71"/>
      <c r="K6" s="71"/>
      <c r="L6" s="71"/>
      <c r="M6" s="74"/>
      <c r="N6" s="74"/>
      <c r="O6" s="72"/>
      <c r="P6" s="128"/>
      <c r="Q6" s="132">
        <v>64.285700000000006</v>
      </c>
      <c r="R6" s="61">
        <f t="shared" si="0"/>
        <v>53.571449999999992</v>
      </c>
      <c r="S6" s="133"/>
      <c r="T6" s="132"/>
      <c r="U6" s="61"/>
      <c r="V6" s="61"/>
      <c r="W6" s="61"/>
      <c r="X6" s="61"/>
      <c r="Y6" s="99">
        <f t="shared" si="1"/>
        <v>0</v>
      </c>
      <c r="Z6" s="99">
        <f t="shared" si="2"/>
        <v>53.571449999999992</v>
      </c>
      <c r="AA6" s="206" t="s">
        <v>159</v>
      </c>
      <c r="AB6" s="75"/>
      <c r="AC6" s="61">
        <v>60.24</v>
      </c>
      <c r="AD6" s="61">
        <f t="shared" si="3"/>
        <v>59.64</v>
      </c>
      <c r="AE6" s="77">
        <v>5</v>
      </c>
      <c r="AF6" s="40"/>
      <c r="AG6" s="14"/>
      <c r="AH6" s="109">
        <v>114</v>
      </c>
      <c r="AI6" s="61">
        <v>111</v>
      </c>
      <c r="AJ6" s="61"/>
      <c r="AK6" s="110">
        <f t="shared" si="4"/>
        <v>0</v>
      </c>
      <c r="AL6" s="41">
        <f t="shared" si="5"/>
        <v>59.64</v>
      </c>
    </row>
    <row r="7" spans="1:38" ht="19.75" customHeight="1" thickBot="1">
      <c r="A7" s="93" t="s">
        <v>117</v>
      </c>
      <c r="B7" s="39"/>
      <c r="C7" s="115"/>
      <c r="D7" s="94">
        <v>8</v>
      </c>
      <c r="E7" s="70"/>
      <c r="F7" s="71"/>
      <c r="G7" s="72"/>
      <c r="H7" s="73"/>
      <c r="I7" s="71"/>
      <c r="J7" s="71"/>
      <c r="K7" s="71"/>
      <c r="L7" s="71"/>
      <c r="M7" s="74"/>
      <c r="N7" s="74"/>
      <c r="O7" s="72"/>
      <c r="P7" s="128"/>
      <c r="Q7" s="132">
        <v>56.665999999999997</v>
      </c>
      <c r="R7" s="61">
        <f t="shared" si="0"/>
        <v>65.001000000000005</v>
      </c>
      <c r="S7" s="133"/>
      <c r="T7" s="132">
        <v>8</v>
      </c>
      <c r="U7" s="61"/>
      <c r="V7" s="61">
        <v>100</v>
      </c>
      <c r="W7" s="61"/>
      <c r="X7" s="61">
        <v>6.4720000000000004</v>
      </c>
      <c r="Y7" s="99">
        <f t="shared" si="1"/>
        <v>14.472000000000001</v>
      </c>
      <c r="Z7" s="99">
        <f t="shared" si="2"/>
        <v>79.473000000000013</v>
      </c>
      <c r="AA7" s="133">
        <v>2</v>
      </c>
      <c r="AB7" s="75"/>
      <c r="AC7" s="61">
        <v>69.290000000000006</v>
      </c>
      <c r="AD7" s="61">
        <f t="shared" si="3"/>
        <v>46.064999999999991</v>
      </c>
      <c r="AE7" s="77">
        <v>1</v>
      </c>
      <c r="AF7" s="40"/>
      <c r="AG7" s="14"/>
      <c r="AH7" s="109">
        <v>114</v>
      </c>
      <c r="AI7" s="61">
        <v>131</v>
      </c>
      <c r="AJ7" s="61">
        <v>6.8</v>
      </c>
      <c r="AK7" s="110">
        <f t="shared" si="4"/>
        <v>6.8</v>
      </c>
      <c r="AL7" s="41">
        <f t="shared" si="5"/>
        <v>52.864999999999988</v>
      </c>
    </row>
    <row r="8" spans="1:38" ht="19.75" customHeight="1" thickBot="1">
      <c r="A8" s="93" t="s">
        <v>119</v>
      </c>
      <c r="B8" s="39"/>
      <c r="C8" s="115"/>
      <c r="D8" s="94">
        <v>2</v>
      </c>
      <c r="E8" s="70"/>
      <c r="F8" s="71"/>
      <c r="G8" s="72"/>
      <c r="H8" s="73"/>
      <c r="I8" s="71"/>
      <c r="J8" s="71"/>
      <c r="K8" s="71"/>
      <c r="L8" s="71"/>
      <c r="M8" s="74"/>
      <c r="N8" s="74"/>
      <c r="O8" s="72"/>
      <c r="P8" s="128"/>
      <c r="Q8" s="132">
        <v>61.428600000000003</v>
      </c>
      <c r="R8" s="61">
        <f t="shared" si="0"/>
        <v>57.857099999999996</v>
      </c>
      <c r="S8" s="133"/>
      <c r="T8" s="132"/>
      <c r="U8" s="61"/>
      <c r="V8" s="61"/>
      <c r="W8" s="61"/>
      <c r="X8" s="61"/>
      <c r="Y8" s="99">
        <f t="shared" si="1"/>
        <v>0</v>
      </c>
      <c r="Z8" s="99">
        <f t="shared" si="2"/>
        <v>57.857099999999996</v>
      </c>
      <c r="AA8" s="206" t="s">
        <v>159</v>
      </c>
      <c r="AB8" s="75"/>
      <c r="AC8" s="61">
        <v>63.57</v>
      </c>
      <c r="AD8" s="61">
        <f t="shared" si="3"/>
        <v>54.644999999999996</v>
      </c>
      <c r="AE8" s="77">
        <v>3</v>
      </c>
      <c r="AF8" s="40"/>
      <c r="AG8" s="14"/>
      <c r="AH8" s="109">
        <v>114</v>
      </c>
      <c r="AI8" s="61">
        <v>108</v>
      </c>
      <c r="AJ8" s="61"/>
      <c r="AK8" s="110">
        <f t="shared" si="4"/>
        <v>0</v>
      </c>
      <c r="AL8" s="41">
        <f>AD8+AK8</f>
        <v>54.644999999999996</v>
      </c>
    </row>
    <row r="9" spans="1:38" ht="19.75" customHeight="1" thickBot="1">
      <c r="A9" s="95" t="s">
        <v>120</v>
      </c>
      <c r="B9" s="12"/>
      <c r="C9" s="116"/>
      <c r="D9" s="96">
        <v>1</v>
      </c>
      <c r="E9" s="70"/>
      <c r="F9" s="71"/>
      <c r="G9" s="72"/>
      <c r="H9" s="73"/>
      <c r="I9" s="71"/>
      <c r="J9" s="71"/>
      <c r="K9" s="71"/>
      <c r="L9" s="71"/>
      <c r="M9" s="74"/>
      <c r="N9" s="74"/>
      <c r="O9" s="72"/>
      <c r="P9" s="128"/>
      <c r="Q9" s="132">
        <v>60.952399999999997</v>
      </c>
      <c r="R9" s="61">
        <f t="shared" si="0"/>
        <v>58.571400000000004</v>
      </c>
      <c r="S9" s="133"/>
      <c r="T9" s="132"/>
      <c r="U9" s="61"/>
      <c r="V9" s="61"/>
      <c r="W9" s="61"/>
      <c r="X9" s="61"/>
      <c r="Y9" s="99">
        <f t="shared" si="1"/>
        <v>0</v>
      </c>
      <c r="Z9" s="99">
        <f t="shared" si="2"/>
        <v>58.571400000000004</v>
      </c>
      <c r="AA9" s="206" t="s">
        <v>159</v>
      </c>
      <c r="AB9" s="75"/>
      <c r="AC9" s="81">
        <v>59.76</v>
      </c>
      <c r="AD9" s="61">
        <f t="shared" si="3"/>
        <v>60.36</v>
      </c>
      <c r="AE9" s="83">
        <v>6</v>
      </c>
      <c r="AF9" s="40"/>
      <c r="AG9" s="14">
        <v>20</v>
      </c>
      <c r="AH9" s="109">
        <v>114</v>
      </c>
      <c r="AI9" s="61">
        <v>130</v>
      </c>
      <c r="AJ9" s="61">
        <v>6.4</v>
      </c>
      <c r="AK9" s="110">
        <f t="shared" si="4"/>
        <v>26.4</v>
      </c>
      <c r="AL9" s="41">
        <f>AD9+AK9</f>
        <v>86.759999999999991</v>
      </c>
    </row>
    <row r="10" spans="1:38" ht="19.75" customHeight="1" thickBot="1">
      <c r="A10" s="82" t="s">
        <v>107</v>
      </c>
      <c r="B10" s="84"/>
      <c r="C10" s="117"/>
      <c r="D10" s="97">
        <v>9</v>
      </c>
      <c r="E10" s="44"/>
      <c r="F10" s="45">
        <f>(100-E10)*1.5</f>
        <v>150</v>
      </c>
      <c r="G10" s="46"/>
      <c r="H10" s="47"/>
      <c r="I10" s="48"/>
      <c r="J10" s="48"/>
      <c r="K10" s="48"/>
      <c r="L10" s="48"/>
      <c r="M10" s="48">
        <f>H10+I10+L10</f>
        <v>0</v>
      </c>
      <c r="N10" s="48">
        <f>F10+M10</f>
        <v>150</v>
      </c>
      <c r="O10" s="46"/>
      <c r="P10" s="128" t="e">
        <f ca="1">((7-O10)*nbre())*1.25</f>
        <v>#NAME?</v>
      </c>
      <c r="Q10" s="159">
        <v>59.047600000000003</v>
      </c>
      <c r="R10" s="61">
        <f t="shared" si="0"/>
        <v>61.428599999999996</v>
      </c>
      <c r="S10" s="104"/>
      <c r="T10" s="159"/>
      <c r="U10" s="99"/>
      <c r="V10" s="99"/>
      <c r="W10" s="99"/>
      <c r="X10" s="99"/>
      <c r="Y10" s="99">
        <f t="shared" si="1"/>
        <v>0</v>
      </c>
      <c r="Z10" s="99">
        <f t="shared" si="2"/>
        <v>61.428599999999996</v>
      </c>
      <c r="AA10" s="206" t="s">
        <v>159</v>
      </c>
      <c r="AB10" s="55" t="e">
        <f ca="1">(7-AA10)*nbre()</f>
        <v>#VALUE!</v>
      </c>
      <c r="AC10" s="85">
        <v>53.57</v>
      </c>
      <c r="AD10" s="61">
        <f t="shared" si="3"/>
        <v>69.644999999999996</v>
      </c>
      <c r="AE10" s="87">
        <v>7</v>
      </c>
      <c r="AF10" s="40"/>
      <c r="AG10" s="14"/>
      <c r="AH10" s="109">
        <v>114</v>
      </c>
      <c r="AI10" s="14"/>
      <c r="AJ10" s="14"/>
      <c r="AK10" s="41">
        <f t="shared" si="4"/>
        <v>0</v>
      </c>
      <c r="AL10" s="41">
        <f t="shared" si="5"/>
        <v>69.644999999999996</v>
      </c>
    </row>
    <row r="11" spans="1:38" ht="15" thickBot="1">
      <c r="A11" s="88" t="s">
        <v>121</v>
      </c>
      <c r="B11" s="89"/>
      <c r="C11" s="118"/>
      <c r="D11" s="98">
        <v>3</v>
      </c>
      <c r="Q11" s="160">
        <v>62.857100000000003</v>
      </c>
      <c r="R11" s="135">
        <f t="shared" ref="R11" si="6">(100-Q11)*1.5</f>
        <v>55.714349999999996</v>
      </c>
      <c r="S11" s="106"/>
      <c r="T11" s="160"/>
      <c r="U11" s="105">
        <v>20</v>
      </c>
      <c r="V11" s="105">
        <v>100</v>
      </c>
      <c r="W11" s="105"/>
      <c r="X11" s="105">
        <v>18.812000000000001</v>
      </c>
      <c r="Y11" s="105">
        <f t="shared" si="1"/>
        <v>38.811999999999998</v>
      </c>
      <c r="Z11" s="105">
        <f t="shared" ref="Z11" si="7">R11+Y11</f>
        <v>94.526349999999994</v>
      </c>
      <c r="AA11" s="106">
        <v>3</v>
      </c>
      <c r="AB11" s="55" t="e">
        <f ca="1">(7-AA11)*nbre()</f>
        <v>#NAME?</v>
      </c>
      <c r="AC11" s="86">
        <v>61.67</v>
      </c>
      <c r="AD11" s="61">
        <f t="shared" si="3"/>
        <v>57.494999999999997</v>
      </c>
      <c r="AE11" s="87">
        <v>4</v>
      </c>
      <c r="AF11" s="40"/>
      <c r="AG11" s="14"/>
      <c r="AH11" s="109">
        <v>114</v>
      </c>
      <c r="AI11" s="14"/>
      <c r="AJ11" s="14"/>
      <c r="AK11" s="41">
        <f t="shared" si="4"/>
        <v>0</v>
      </c>
      <c r="AL11" s="41">
        <f t="shared" si="5"/>
        <v>57.494999999999997</v>
      </c>
    </row>
    <row r="12" spans="1:38" ht="14">
      <c r="AE12" s="19"/>
    </row>
    <row r="13" spans="1:38" ht="13" thickBot="1"/>
    <row r="14" spans="1:38" ht="27" customHeight="1" thickBot="1">
      <c r="A14" s="314" t="s">
        <v>32</v>
      </c>
      <c r="B14" s="315"/>
      <c r="C14" s="315"/>
      <c r="D14" s="315"/>
      <c r="E14" s="289" t="s">
        <v>39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1"/>
      <c r="Q14" s="295" t="s">
        <v>114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7"/>
      <c r="AC14" s="309" t="s">
        <v>38</v>
      </c>
      <c r="AD14" s="310"/>
      <c r="AE14" s="310"/>
      <c r="AF14" s="310"/>
      <c r="AG14" s="310"/>
      <c r="AH14" s="310"/>
      <c r="AI14" s="310"/>
      <c r="AJ14" s="310"/>
      <c r="AK14" s="310"/>
      <c r="AL14" s="310"/>
    </row>
    <row r="15" spans="1:38" ht="16" customHeight="1" thickBot="1">
      <c r="A15" s="318" t="s">
        <v>0</v>
      </c>
      <c r="B15" s="320" t="s">
        <v>1</v>
      </c>
      <c r="C15" s="119"/>
      <c r="D15" s="321" t="s">
        <v>2</v>
      </c>
      <c r="E15" s="292" t="s">
        <v>36</v>
      </c>
      <c r="F15" s="293"/>
      <c r="G15" s="294"/>
      <c r="H15" s="289" t="s">
        <v>37</v>
      </c>
      <c r="I15" s="290"/>
      <c r="J15" s="290"/>
      <c r="K15" s="290"/>
      <c r="L15" s="290"/>
      <c r="M15" s="290"/>
      <c r="N15" s="290"/>
      <c r="O15" s="291"/>
      <c r="P15" s="56"/>
      <c r="Q15" s="298" t="s">
        <v>36</v>
      </c>
      <c r="R15" s="299"/>
      <c r="S15" s="300"/>
      <c r="T15" s="295" t="s">
        <v>37</v>
      </c>
      <c r="U15" s="296"/>
      <c r="V15" s="296"/>
      <c r="W15" s="296"/>
      <c r="X15" s="296"/>
      <c r="Y15" s="296"/>
      <c r="Z15" s="296"/>
      <c r="AA15" s="296"/>
      <c r="AB15" s="173"/>
      <c r="AC15" s="307" t="s">
        <v>36</v>
      </c>
      <c r="AD15" s="307"/>
      <c r="AE15" s="308"/>
      <c r="AF15" s="309" t="s">
        <v>37</v>
      </c>
      <c r="AG15" s="310"/>
      <c r="AH15" s="310"/>
      <c r="AI15" s="310"/>
      <c r="AJ15" s="310"/>
      <c r="AK15" s="310"/>
      <c r="AL15" s="310"/>
    </row>
    <row r="16" spans="1:38" ht="61" thickBot="1">
      <c r="A16" s="319"/>
      <c r="B16" s="304"/>
      <c r="C16" s="113"/>
      <c r="D16" s="322"/>
      <c r="E16" s="49" t="s">
        <v>28</v>
      </c>
      <c r="F16" s="50" t="s">
        <v>29</v>
      </c>
      <c r="G16" s="51" t="s">
        <v>23</v>
      </c>
      <c r="H16" s="52" t="s">
        <v>34</v>
      </c>
      <c r="I16" s="50" t="s">
        <v>35</v>
      </c>
      <c r="J16" s="50" t="s">
        <v>40</v>
      </c>
      <c r="K16" s="50" t="s">
        <v>42</v>
      </c>
      <c r="L16" s="50" t="s">
        <v>31</v>
      </c>
      <c r="M16" s="50" t="s">
        <v>30</v>
      </c>
      <c r="N16" s="50" t="s">
        <v>33</v>
      </c>
      <c r="O16" s="51" t="s">
        <v>23</v>
      </c>
      <c r="P16" s="53" t="s">
        <v>24</v>
      </c>
      <c r="Q16" s="76" t="s">
        <v>28</v>
      </c>
      <c r="R16" s="58" t="s">
        <v>29</v>
      </c>
      <c r="S16" s="59" t="s">
        <v>23</v>
      </c>
      <c r="T16" s="57" t="s">
        <v>34</v>
      </c>
      <c r="U16" s="58" t="s">
        <v>35</v>
      </c>
      <c r="V16" s="58" t="s">
        <v>40</v>
      </c>
      <c r="W16" s="58" t="s">
        <v>59</v>
      </c>
      <c r="X16" s="58" t="s">
        <v>31</v>
      </c>
      <c r="Y16" s="58" t="s">
        <v>30</v>
      </c>
      <c r="Z16" s="58" t="s">
        <v>33</v>
      </c>
      <c r="AA16" s="59" t="s">
        <v>23</v>
      </c>
      <c r="AB16" s="172" t="s">
        <v>24</v>
      </c>
      <c r="AC16" s="76" t="s">
        <v>28</v>
      </c>
      <c r="AD16" s="58" t="s">
        <v>29</v>
      </c>
      <c r="AE16" s="59" t="s">
        <v>23</v>
      </c>
      <c r="AF16" s="57" t="s">
        <v>34</v>
      </c>
      <c r="AG16" s="58" t="s">
        <v>35</v>
      </c>
      <c r="AH16" s="58" t="s">
        <v>40</v>
      </c>
      <c r="AI16" s="58" t="s">
        <v>42</v>
      </c>
      <c r="AJ16" s="58" t="s">
        <v>31</v>
      </c>
      <c r="AK16" s="58" t="s">
        <v>30</v>
      </c>
      <c r="AL16" s="58" t="s">
        <v>33</v>
      </c>
    </row>
    <row r="17" spans="1:38" ht="19.75" customHeight="1" thickBot="1">
      <c r="A17" s="93" t="s">
        <v>119</v>
      </c>
      <c r="B17" s="176"/>
      <c r="C17" s="176"/>
      <c r="D17" s="177"/>
      <c r="E17" s="40"/>
      <c r="F17" s="14">
        <f>(100-E17)*1.5</f>
        <v>150</v>
      </c>
      <c r="G17" s="203"/>
      <c r="H17" s="40"/>
      <c r="I17" s="14"/>
      <c r="J17" s="14"/>
      <c r="K17" s="14"/>
      <c r="L17" s="14"/>
      <c r="M17" s="41">
        <f>H17+I17+L17</f>
        <v>0</v>
      </c>
      <c r="N17" s="41">
        <f>F17+M17</f>
        <v>150</v>
      </c>
      <c r="O17" s="203"/>
      <c r="P17" s="128" t="e">
        <f ca="1">((7-O17)*nbre())*1.25</f>
        <v>#NAME?</v>
      </c>
      <c r="Q17" s="136">
        <v>56</v>
      </c>
      <c r="R17" s="102">
        <f>(100-Q17)*1.5</f>
        <v>66</v>
      </c>
      <c r="S17" s="140"/>
      <c r="T17" s="130"/>
      <c r="U17" s="101"/>
      <c r="V17" s="101"/>
      <c r="W17" s="101"/>
      <c r="X17" s="144"/>
      <c r="Y17" s="150">
        <f>T17+U17+X17</f>
        <v>0</v>
      </c>
      <c r="Z17" s="151">
        <f>R17+Y17</f>
        <v>66</v>
      </c>
      <c r="AA17" s="208" t="s">
        <v>160</v>
      </c>
      <c r="AB17" s="152" t="e">
        <f ca="1">(7-AA17)*nbre()</f>
        <v>#VALUE!</v>
      </c>
      <c r="AC17" s="149">
        <v>63.5</v>
      </c>
      <c r="AD17" s="61">
        <f t="shared" ref="AD17" si="8">(100-AC17)*1.5</f>
        <v>54.75</v>
      </c>
      <c r="AE17" s="100">
        <v>2</v>
      </c>
      <c r="AF17" s="61"/>
      <c r="AG17" s="61"/>
      <c r="AH17" s="61">
        <v>114</v>
      </c>
      <c r="AI17" s="61">
        <v>117</v>
      </c>
      <c r="AJ17" s="61">
        <v>1.2</v>
      </c>
      <c r="AK17" s="99">
        <f>AF17+AG17+AJ17</f>
        <v>1.2</v>
      </c>
      <c r="AL17" s="99">
        <f t="shared" ref="AL17:AL18" si="9">AK17+AD17</f>
        <v>55.95</v>
      </c>
    </row>
    <row r="18" spans="1:38" ht="19.75" customHeight="1" thickBot="1">
      <c r="A18" s="88" t="s">
        <v>121</v>
      </c>
      <c r="B18" s="176">
        <v>1705</v>
      </c>
      <c r="C18" s="176"/>
      <c r="D18" s="177" t="s">
        <v>157</v>
      </c>
      <c r="E18" s="70"/>
      <c r="F18" s="71"/>
      <c r="G18" s="204"/>
      <c r="H18" s="73"/>
      <c r="I18" s="71"/>
      <c r="J18" s="71"/>
      <c r="K18" s="71"/>
      <c r="L18" s="71"/>
      <c r="M18" s="74"/>
      <c r="N18" s="74"/>
      <c r="O18" s="204"/>
      <c r="P18" s="128"/>
      <c r="Q18" s="137">
        <v>55.5</v>
      </c>
      <c r="R18" s="61">
        <f>(100-Q18)*1.5</f>
        <v>66.75</v>
      </c>
      <c r="S18" s="141"/>
      <c r="T18" s="131"/>
      <c r="U18" s="129"/>
      <c r="V18" s="129"/>
      <c r="W18" s="129"/>
      <c r="X18" s="145"/>
      <c r="Y18" s="153">
        <f t="shared" ref="Y18:Y24" si="10">T18+U18+X18</f>
        <v>0</v>
      </c>
      <c r="Z18" s="148">
        <f t="shared" ref="Z18:Z24" si="11">R18+Y18</f>
        <v>66.75</v>
      </c>
      <c r="AA18" s="207" t="s">
        <v>159</v>
      </c>
      <c r="AB18" s="154"/>
      <c r="AC18" s="149">
        <v>65.75</v>
      </c>
      <c r="AD18" s="61">
        <f>(100-AC18)*1.5</f>
        <v>51.375</v>
      </c>
      <c r="AE18" s="100">
        <v>1</v>
      </c>
      <c r="AF18" s="61"/>
      <c r="AG18" s="61"/>
      <c r="AH18" s="61">
        <v>114</v>
      </c>
      <c r="AI18" s="61">
        <v>115</v>
      </c>
      <c r="AJ18" s="61">
        <v>0.4</v>
      </c>
      <c r="AK18" s="99">
        <f>AF18+AG18+AJ18</f>
        <v>0.4</v>
      </c>
      <c r="AL18" s="99">
        <f t="shared" si="9"/>
        <v>51.774999999999999</v>
      </c>
    </row>
    <row r="19" spans="1:38" ht="19.75" customHeight="1" thickBot="1">
      <c r="A19" s="88" t="s">
        <v>70</v>
      </c>
      <c r="B19" s="176">
        <v>1706</v>
      </c>
      <c r="C19" s="176"/>
      <c r="D19" s="177" t="s">
        <v>158</v>
      </c>
      <c r="E19" s="44"/>
      <c r="F19" s="45">
        <f>(100-E19)*1.5</f>
        <v>150</v>
      </c>
      <c r="G19" s="205"/>
      <c r="H19" s="47"/>
      <c r="I19" s="48"/>
      <c r="J19" s="48"/>
      <c r="K19" s="48"/>
      <c r="L19" s="48"/>
      <c r="M19" s="48">
        <f>H19+I19+L19</f>
        <v>0</v>
      </c>
      <c r="N19" s="48">
        <f>F19+M19</f>
        <v>150</v>
      </c>
      <c r="O19" s="205"/>
      <c r="P19" s="128" t="e">
        <f ca="1">((7-O19)*nbre())*1.25</f>
        <v>#NAME?</v>
      </c>
      <c r="Q19" s="138">
        <v>61</v>
      </c>
      <c r="R19" s="61">
        <f t="shared" ref="R19:R24" si="12">(100-Q19)*1.5</f>
        <v>58.5</v>
      </c>
      <c r="S19" s="142"/>
      <c r="T19" s="132">
        <v>4</v>
      </c>
      <c r="U19" s="61"/>
      <c r="V19" s="61">
        <v>92.57</v>
      </c>
      <c r="W19" s="61"/>
      <c r="X19" s="146"/>
      <c r="Y19" s="153">
        <f t="shared" si="10"/>
        <v>4</v>
      </c>
      <c r="Z19" s="148">
        <f t="shared" si="11"/>
        <v>62.5</v>
      </c>
      <c r="AA19" s="142">
        <v>1</v>
      </c>
      <c r="AB19" s="154"/>
      <c r="AC19" s="149">
        <v>66.75</v>
      </c>
      <c r="AD19" s="61">
        <f t="shared" ref="AD19:AD24" si="13">(100-AC19)*1.5</f>
        <v>49.875</v>
      </c>
      <c r="AE19" s="100">
        <v>1</v>
      </c>
      <c r="AF19" s="61"/>
      <c r="AG19" s="61"/>
      <c r="AH19" s="61">
        <v>114</v>
      </c>
      <c r="AI19" s="61">
        <v>115</v>
      </c>
      <c r="AJ19" s="61">
        <v>0.4</v>
      </c>
      <c r="AK19" s="99">
        <f t="shared" ref="AK19:AK24" si="14">AF19+AG19+AJ19</f>
        <v>0.4</v>
      </c>
      <c r="AL19" s="99">
        <f t="shared" ref="AL19:AL24" si="15">AK19+AD19</f>
        <v>50.274999999999999</v>
      </c>
    </row>
    <row r="20" spans="1:38" ht="19.75" customHeight="1" thickBot="1">
      <c r="A20" s="88"/>
      <c r="B20" s="176"/>
      <c r="C20" s="176"/>
      <c r="D20" s="177"/>
      <c r="E20" s="78"/>
      <c r="F20" s="60"/>
      <c r="G20" s="79"/>
      <c r="H20" s="78"/>
      <c r="I20" s="78"/>
      <c r="J20" s="78"/>
      <c r="K20" s="78"/>
      <c r="L20" s="78"/>
      <c r="M20" s="78"/>
      <c r="N20" s="78"/>
      <c r="O20" s="79"/>
      <c r="P20" s="80"/>
      <c r="Q20" s="138"/>
      <c r="R20" s="61">
        <f t="shared" si="12"/>
        <v>150</v>
      </c>
      <c r="S20" s="142"/>
      <c r="T20" s="132"/>
      <c r="U20" s="61"/>
      <c r="V20" s="61"/>
      <c r="W20" s="61"/>
      <c r="X20" s="146"/>
      <c r="Y20" s="153">
        <f t="shared" si="10"/>
        <v>0</v>
      </c>
      <c r="Z20" s="148">
        <f t="shared" si="11"/>
        <v>150</v>
      </c>
      <c r="AA20" s="142"/>
      <c r="AB20" s="154"/>
      <c r="AC20" s="149">
        <v>67.75</v>
      </c>
      <c r="AD20" s="61">
        <f t="shared" si="13"/>
        <v>48.375</v>
      </c>
      <c r="AE20" s="100">
        <v>1</v>
      </c>
      <c r="AF20" s="61"/>
      <c r="AG20" s="61"/>
      <c r="AH20" s="61">
        <v>114</v>
      </c>
      <c r="AI20" s="61">
        <v>115</v>
      </c>
      <c r="AJ20" s="61">
        <v>0.4</v>
      </c>
      <c r="AK20" s="99">
        <f t="shared" si="14"/>
        <v>0.4</v>
      </c>
      <c r="AL20" s="99">
        <f t="shared" si="15"/>
        <v>48.774999999999999</v>
      </c>
    </row>
    <row r="21" spans="1:38" ht="19.75" customHeight="1" thickBot="1">
      <c r="A21" s="88"/>
      <c r="B21" s="176"/>
      <c r="C21" s="176"/>
      <c r="D21" s="177"/>
      <c r="E21" s="78"/>
      <c r="F21" s="60"/>
      <c r="G21" s="79"/>
      <c r="H21" s="78"/>
      <c r="I21" s="78"/>
      <c r="J21" s="78"/>
      <c r="K21" s="78"/>
      <c r="L21" s="78"/>
      <c r="M21" s="78"/>
      <c r="N21" s="78"/>
      <c r="O21" s="79"/>
      <c r="P21" s="80"/>
      <c r="Q21" s="138"/>
      <c r="R21" s="61">
        <f t="shared" si="12"/>
        <v>150</v>
      </c>
      <c r="S21" s="142"/>
      <c r="T21" s="132"/>
      <c r="U21" s="61"/>
      <c r="V21" s="61"/>
      <c r="W21" s="61"/>
      <c r="X21" s="146"/>
      <c r="Y21" s="153">
        <f t="shared" si="10"/>
        <v>0</v>
      </c>
      <c r="Z21" s="148">
        <f t="shared" si="11"/>
        <v>150</v>
      </c>
      <c r="AA21" s="142"/>
      <c r="AB21" s="154"/>
      <c r="AC21" s="149">
        <v>68.75</v>
      </c>
      <c r="AD21" s="61">
        <f t="shared" si="13"/>
        <v>46.875</v>
      </c>
      <c r="AE21" s="100">
        <v>1</v>
      </c>
      <c r="AF21" s="61"/>
      <c r="AG21" s="61"/>
      <c r="AH21" s="61">
        <v>114</v>
      </c>
      <c r="AI21" s="61">
        <v>115</v>
      </c>
      <c r="AJ21" s="61">
        <v>0.4</v>
      </c>
      <c r="AK21" s="99">
        <f t="shared" si="14"/>
        <v>0.4</v>
      </c>
      <c r="AL21" s="99">
        <f t="shared" si="15"/>
        <v>47.274999999999999</v>
      </c>
    </row>
    <row r="22" spans="1:38" ht="19.75" customHeight="1" thickBot="1">
      <c r="A22" s="88"/>
      <c r="B22" s="176"/>
      <c r="C22" s="176"/>
      <c r="D22" s="177"/>
      <c r="E22" s="78"/>
      <c r="F22" s="60"/>
      <c r="G22" s="79"/>
      <c r="H22" s="78"/>
      <c r="I22" s="78"/>
      <c r="J22" s="78"/>
      <c r="K22" s="78"/>
      <c r="L22" s="78"/>
      <c r="M22" s="78"/>
      <c r="N22" s="78"/>
      <c r="O22" s="79"/>
      <c r="P22" s="80"/>
      <c r="Q22" s="138"/>
      <c r="R22" s="61">
        <f t="shared" si="12"/>
        <v>150</v>
      </c>
      <c r="S22" s="142"/>
      <c r="T22" s="132"/>
      <c r="U22" s="61"/>
      <c r="V22" s="61"/>
      <c r="W22" s="61"/>
      <c r="X22" s="146"/>
      <c r="Y22" s="153">
        <f t="shared" si="10"/>
        <v>0</v>
      </c>
      <c r="Z22" s="148">
        <f t="shared" si="11"/>
        <v>150</v>
      </c>
      <c r="AA22" s="142"/>
      <c r="AB22" s="154"/>
      <c r="AC22" s="149">
        <v>69.75</v>
      </c>
      <c r="AD22" s="61">
        <f t="shared" si="13"/>
        <v>45.375</v>
      </c>
      <c r="AE22" s="100">
        <v>1</v>
      </c>
      <c r="AF22" s="61"/>
      <c r="AG22" s="61"/>
      <c r="AH22" s="61">
        <v>114</v>
      </c>
      <c r="AI22" s="61">
        <v>115</v>
      </c>
      <c r="AJ22" s="61">
        <v>0.4</v>
      </c>
      <c r="AK22" s="99">
        <f t="shared" si="14"/>
        <v>0.4</v>
      </c>
      <c r="AL22" s="99">
        <f t="shared" si="15"/>
        <v>45.774999999999999</v>
      </c>
    </row>
    <row r="23" spans="1:38" ht="19.75" customHeight="1" thickBot="1">
      <c r="A23" s="88"/>
      <c r="B23" s="176"/>
      <c r="C23" s="176"/>
      <c r="D23" s="177"/>
      <c r="E23" s="78"/>
      <c r="F23" s="60"/>
      <c r="G23" s="79"/>
      <c r="H23" s="78"/>
      <c r="I23" s="78"/>
      <c r="J23" s="78"/>
      <c r="K23" s="78"/>
      <c r="L23" s="78"/>
      <c r="M23" s="78"/>
      <c r="N23" s="78"/>
      <c r="O23" s="79"/>
      <c r="P23" s="80"/>
      <c r="Q23" s="138"/>
      <c r="R23" s="61">
        <f t="shared" si="12"/>
        <v>150</v>
      </c>
      <c r="S23" s="142"/>
      <c r="T23" s="132"/>
      <c r="U23" s="61"/>
      <c r="V23" s="61"/>
      <c r="W23" s="61"/>
      <c r="X23" s="146"/>
      <c r="Y23" s="153">
        <f t="shared" si="10"/>
        <v>0</v>
      </c>
      <c r="Z23" s="148">
        <f t="shared" si="11"/>
        <v>150</v>
      </c>
      <c r="AA23" s="142"/>
      <c r="AB23" s="154"/>
      <c r="AC23" s="149">
        <v>70.75</v>
      </c>
      <c r="AD23" s="61">
        <f t="shared" si="13"/>
        <v>43.875</v>
      </c>
      <c r="AE23" s="100">
        <v>1</v>
      </c>
      <c r="AF23" s="61"/>
      <c r="AG23" s="61"/>
      <c r="AH23" s="61">
        <v>114</v>
      </c>
      <c r="AI23" s="61">
        <v>115</v>
      </c>
      <c r="AJ23" s="61">
        <v>0.4</v>
      </c>
      <c r="AK23" s="99">
        <f t="shared" si="14"/>
        <v>0.4</v>
      </c>
      <c r="AL23" s="99">
        <f t="shared" si="15"/>
        <v>44.274999999999999</v>
      </c>
    </row>
    <row r="24" spans="1:38" ht="19.75" customHeight="1" thickBot="1">
      <c r="A24" s="88"/>
      <c r="B24" s="176"/>
      <c r="C24" s="176"/>
      <c r="D24" s="177"/>
      <c r="E24" s="78"/>
      <c r="F24" s="60"/>
      <c r="G24" s="79"/>
      <c r="H24" s="78"/>
      <c r="I24" s="78"/>
      <c r="J24" s="78"/>
      <c r="K24" s="78"/>
      <c r="L24" s="78"/>
      <c r="M24" s="78"/>
      <c r="N24" s="78"/>
      <c r="O24" s="79"/>
      <c r="P24" s="80"/>
      <c r="Q24" s="139"/>
      <c r="R24" s="135">
        <f t="shared" si="12"/>
        <v>150</v>
      </c>
      <c r="S24" s="143"/>
      <c r="T24" s="134"/>
      <c r="U24" s="135"/>
      <c r="V24" s="135"/>
      <c r="W24" s="135"/>
      <c r="X24" s="147"/>
      <c r="Y24" s="155">
        <f t="shared" si="10"/>
        <v>0</v>
      </c>
      <c r="Z24" s="156">
        <f t="shared" si="11"/>
        <v>150</v>
      </c>
      <c r="AA24" s="143"/>
      <c r="AB24" s="157"/>
      <c r="AC24" s="149">
        <v>71.75</v>
      </c>
      <c r="AD24" s="61">
        <f t="shared" si="13"/>
        <v>42.375</v>
      </c>
      <c r="AE24" s="100">
        <v>1</v>
      </c>
      <c r="AF24" s="61"/>
      <c r="AG24" s="61"/>
      <c r="AH24" s="61">
        <v>114</v>
      </c>
      <c r="AI24" s="61">
        <v>115</v>
      </c>
      <c r="AJ24" s="61">
        <v>0.4</v>
      </c>
      <c r="AK24" s="99">
        <f t="shared" si="14"/>
        <v>0.4</v>
      </c>
      <c r="AL24" s="99">
        <f t="shared" si="15"/>
        <v>42.774999999999999</v>
      </c>
    </row>
    <row r="28" spans="1:38" ht="13" thickBot="1"/>
    <row r="29" spans="1:38" ht="27" customHeight="1" thickBot="1">
      <c r="A29" s="312" t="s">
        <v>41</v>
      </c>
      <c r="B29" s="313"/>
      <c r="C29" s="313"/>
      <c r="D29" s="323"/>
      <c r="E29" s="289" t="s">
        <v>39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  <c r="Q29" s="295" t="s">
        <v>114</v>
      </c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7"/>
      <c r="AC29" s="309" t="s">
        <v>38</v>
      </c>
      <c r="AD29" s="310"/>
      <c r="AE29" s="310"/>
      <c r="AF29" s="310"/>
      <c r="AG29" s="310"/>
      <c r="AH29" s="310"/>
      <c r="AI29" s="310"/>
      <c r="AJ29" s="310"/>
      <c r="AK29" s="310"/>
      <c r="AL29" s="310"/>
    </row>
    <row r="30" spans="1:38" ht="16" customHeight="1" thickBot="1">
      <c r="A30" s="301" t="s">
        <v>0</v>
      </c>
      <c r="B30" s="303" t="s">
        <v>1</v>
      </c>
      <c r="C30" s="112"/>
      <c r="D30" s="305" t="s">
        <v>2</v>
      </c>
      <c r="E30" s="292" t="s">
        <v>36</v>
      </c>
      <c r="F30" s="293"/>
      <c r="G30" s="294"/>
      <c r="H30" s="289" t="s">
        <v>37</v>
      </c>
      <c r="I30" s="290"/>
      <c r="J30" s="290"/>
      <c r="K30" s="290"/>
      <c r="L30" s="290"/>
      <c r="M30" s="290"/>
      <c r="N30" s="290"/>
      <c r="O30" s="291"/>
      <c r="P30" s="56"/>
      <c r="Q30" s="298" t="s">
        <v>36</v>
      </c>
      <c r="R30" s="299"/>
      <c r="S30" s="300"/>
      <c r="T30" s="295" t="s">
        <v>37</v>
      </c>
      <c r="U30" s="296"/>
      <c r="V30" s="296"/>
      <c r="W30" s="296"/>
      <c r="X30" s="296"/>
      <c r="Y30" s="296"/>
      <c r="Z30" s="296"/>
      <c r="AA30" s="296"/>
      <c r="AB30" s="173"/>
      <c r="AC30" s="307" t="s">
        <v>36</v>
      </c>
      <c r="AD30" s="307"/>
      <c r="AE30" s="308"/>
      <c r="AF30" s="309" t="s">
        <v>37</v>
      </c>
      <c r="AG30" s="310"/>
      <c r="AH30" s="310"/>
      <c r="AI30" s="310"/>
      <c r="AJ30" s="310"/>
      <c r="AK30" s="310"/>
      <c r="AL30" s="310"/>
    </row>
    <row r="31" spans="1:38" ht="61" thickBot="1">
      <c r="A31" s="302"/>
      <c r="B31" s="304"/>
      <c r="C31" s="113"/>
      <c r="D31" s="306"/>
      <c r="E31" s="49" t="s">
        <v>28</v>
      </c>
      <c r="F31" s="50" t="s">
        <v>29</v>
      </c>
      <c r="G31" s="51" t="s">
        <v>23</v>
      </c>
      <c r="H31" s="52" t="s">
        <v>34</v>
      </c>
      <c r="I31" s="50" t="s">
        <v>35</v>
      </c>
      <c r="J31" s="50" t="s">
        <v>40</v>
      </c>
      <c r="K31" s="50" t="s">
        <v>59</v>
      </c>
      <c r="L31" s="50" t="s">
        <v>31</v>
      </c>
      <c r="M31" s="50" t="s">
        <v>30</v>
      </c>
      <c r="N31" s="50" t="s">
        <v>33</v>
      </c>
      <c r="O31" s="51" t="s">
        <v>23</v>
      </c>
      <c r="P31" s="53" t="s">
        <v>24</v>
      </c>
      <c r="Q31" s="76" t="s">
        <v>28</v>
      </c>
      <c r="R31" s="58" t="s">
        <v>29</v>
      </c>
      <c r="S31" s="59" t="s">
        <v>23</v>
      </c>
      <c r="T31" s="57" t="s">
        <v>34</v>
      </c>
      <c r="U31" s="58" t="s">
        <v>35</v>
      </c>
      <c r="V31" s="58" t="s">
        <v>40</v>
      </c>
      <c r="W31" s="58" t="s">
        <v>59</v>
      </c>
      <c r="X31" s="58" t="s">
        <v>31</v>
      </c>
      <c r="Y31" s="58" t="s">
        <v>30</v>
      </c>
      <c r="Z31" s="58" t="s">
        <v>33</v>
      </c>
      <c r="AA31" s="165" t="s">
        <v>23</v>
      </c>
      <c r="AB31" s="175" t="s">
        <v>24</v>
      </c>
      <c r="AC31" s="57" t="s">
        <v>28</v>
      </c>
      <c r="AD31" s="58" t="s">
        <v>29</v>
      </c>
      <c r="AE31" s="59" t="s">
        <v>23</v>
      </c>
      <c r="AF31" s="52" t="s">
        <v>34</v>
      </c>
      <c r="AG31" s="50" t="s">
        <v>35</v>
      </c>
      <c r="AH31" s="50" t="s">
        <v>40</v>
      </c>
      <c r="AI31" s="50" t="s">
        <v>59</v>
      </c>
      <c r="AJ31" s="50" t="s">
        <v>31</v>
      </c>
      <c r="AK31" s="50" t="s">
        <v>30</v>
      </c>
      <c r="AL31" s="50" t="s">
        <v>33</v>
      </c>
    </row>
    <row r="32" spans="1:38" ht="15" thickBot="1">
      <c r="A32" s="178" t="s">
        <v>118</v>
      </c>
      <c r="B32" s="179"/>
      <c r="C32" s="180"/>
      <c r="D32" s="181"/>
      <c r="E32" s="40"/>
      <c r="F32" s="14">
        <f>(100-E32)*1.5</f>
        <v>150</v>
      </c>
      <c r="G32" s="43"/>
      <c r="H32" s="40"/>
      <c r="I32" s="14"/>
      <c r="J32" s="14"/>
      <c r="K32" s="14"/>
      <c r="L32" s="14"/>
      <c r="M32" s="41">
        <f>H32+I32+L32</f>
        <v>0</v>
      </c>
      <c r="N32" s="41">
        <f>F32+M32</f>
        <v>150</v>
      </c>
      <c r="O32" s="43"/>
      <c r="P32" s="128" t="e">
        <f ca="1">((7-O32)*nbre())*1.25</f>
        <v>#NAME?</v>
      </c>
      <c r="Q32" s="158"/>
      <c r="R32" s="102">
        <f>(100-Q32)*1.5</f>
        <v>150</v>
      </c>
      <c r="S32" s="103"/>
      <c r="T32" s="158"/>
      <c r="U32" s="102"/>
      <c r="V32" s="102"/>
      <c r="W32" s="102"/>
      <c r="X32" s="102"/>
      <c r="Y32" s="161">
        <f>T32+U32+X32</f>
        <v>0</v>
      </c>
      <c r="Z32" s="161">
        <f>R32+Y32</f>
        <v>150</v>
      </c>
      <c r="AA32" s="103"/>
      <c r="AB32" s="170" t="e">
        <f ca="1">(7-AA32)*nbre()</f>
        <v>#NAME?</v>
      </c>
      <c r="AC32" s="162">
        <v>65</v>
      </c>
      <c r="AD32" s="102">
        <f t="shared" ref="AD32:AD36" si="16">(100-AC32)*1.5</f>
        <v>52.5</v>
      </c>
      <c r="AE32" s="103">
        <v>2</v>
      </c>
      <c r="AF32" s="40"/>
      <c r="AG32" s="14"/>
      <c r="AH32" s="14">
        <v>103</v>
      </c>
      <c r="AI32" s="14">
        <v>121</v>
      </c>
      <c r="AJ32" s="14">
        <f>(AI32-AH32)*0.4</f>
        <v>7.2</v>
      </c>
      <c r="AK32" s="41">
        <f>AF32+AG32+AJ32</f>
        <v>7.2</v>
      </c>
      <c r="AL32" s="41">
        <f>AD32+AK32</f>
        <v>59.7</v>
      </c>
    </row>
    <row r="33" spans="1:38" ht="15" thickBot="1">
      <c r="A33" s="178"/>
      <c r="B33" s="179"/>
      <c r="C33" s="180"/>
      <c r="D33" s="181"/>
      <c r="E33" s="44"/>
      <c r="F33" s="45">
        <f>(100-E33)*1.5</f>
        <v>150</v>
      </c>
      <c r="G33" s="46"/>
      <c r="H33" s="47"/>
      <c r="I33" s="48"/>
      <c r="J33" s="48"/>
      <c r="K33" s="48"/>
      <c r="L33" s="48"/>
      <c r="M33" s="48">
        <f>H33+I33+L33</f>
        <v>0</v>
      </c>
      <c r="N33" s="48">
        <f>F33+M33</f>
        <v>150</v>
      </c>
      <c r="O33" s="46"/>
      <c r="P33" s="128" t="e">
        <f ca="1">((7-O33)*nbre())*1.25</f>
        <v>#NAME?</v>
      </c>
      <c r="Q33" s="159"/>
      <c r="R33" s="61">
        <f>(100-Q33)*1.5</f>
        <v>150</v>
      </c>
      <c r="S33" s="104"/>
      <c r="T33" s="159"/>
      <c r="U33" s="99"/>
      <c r="V33" s="99"/>
      <c r="W33" s="99"/>
      <c r="X33" s="99"/>
      <c r="Y33" s="99">
        <f>T33+U33+X33</f>
        <v>0</v>
      </c>
      <c r="Z33" s="99">
        <f>R33+Y33</f>
        <v>150</v>
      </c>
      <c r="AA33" s="104"/>
      <c r="AB33" s="166" t="e">
        <f ca="1">(7-AA33)*nbre()</f>
        <v>#NAME?</v>
      </c>
      <c r="AC33" s="149">
        <v>70.75</v>
      </c>
      <c r="AD33" s="102">
        <f t="shared" si="16"/>
        <v>43.875</v>
      </c>
      <c r="AE33" s="104">
        <v>1</v>
      </c>
      <c r="AF33" s="40">
        <v>4</v>
      </c>
      <c r="AG33" s="14"/>
      <c r="AH33" s="14">
        <v>103</v>
      </c>
      <c r="AI33" s="14">
        <v>102</v>
      </c>
      <c r="AJ33" s="14"/>
      <c r="AK33" s="41">
        <f t="shared" ref="AK33:AK36" si="17">AF33+AG33+AJ33</f>
        <v>4</v>
      </c>
      <c r="AL33" s="41">
        <f t="shared" ref="AL33:AL36" si="18">AD33+AK33</f>
        <v>47.875</v>
      </c>
    </row>
    <row r="34" spans="1:38" ht="15" thickBot="1">
      <c r="A34" s="178"/>
      <c r="B34" s="179"/>
      <c r="C34" s="180"/>
      <c r="D34" s="181"/>
      <c r="E34" s="78"/>
      <c r="F34" s="60"/>
      <c r="G34" s="79"/>
      <c r="H34" s="78"/>
      <c r="I34" s="78"/>
      <c r="J34" s="78"/>
      <c r="K34" s="78"/>
      <c r="L34" s="78"/>
      <c r="M34" s="78"/>
      <c r="N34" s="78"/>
      <c r="O34" s="79"/>
      <c r="P34" s="80"/>
      <c r="Q34" s="159"/>
      <c r="R34" s="61">
        <f t="shared" ref="R34:R36" si="19">(100-Q34)*1.5</f>
        <v>150</v>
      </c>
      <c r="S34" s="104"/>
      <c r="T34" s="159"/>
      <c r="U34" s="99"/>
      <c r="V34" s="99"/>
      <c r="W34" s="99"/>
      <c r="X34" s="99"/>
      <c r="Y34" s="99">
        <f t="shared" ref="Y34:Y36" si="20">T34+U34+X34</f>
        <v>0</v>
      </c>
      <c r="Z34" s="99">
        <f t="shared" ref="Z34:Z36" si="21">R34+Y34</f>
        <v>150</v>
      </c>
      <c r="AA34" s="104"/>
      <c r="AB34" s="166"/>
      <c r="AC34" s="149">
        <v>54</v>
      </c>
      <c r="AD34" s="102">
        <f t="shared" si="16"/>
        <v>69</v>
      </c>
      <c r="AE34" s="104">
        <v>5</v>
      </c>
      <c r="AF34" s="40">
        <v>4</v>
      </c>
      <c r="AG34" s="14"/>
      <c r="AH34" s="14">
        <v>103</v>
      </c>
      <c r="AI34" s="14">
        <v>111</v>
      </c>
      <c r="AJ34" s="14">
        <f t="shared" ref="AJ34" si="22">(AI34-AH34)*0.4</f>
        <v>3.2</v>
      </c>
      <c r="AK34" s="41">
        <f t="shared" si="17"/>
        <v>7.2</v>
      </c>
      <c r="AL34" s="41">
        <f t="shared" si="18"/>
        <v>76.2</v>
      </c>
    </row>
    <row r="35" spans="1:38" ht="15" thickBot="1">
      <c r="A35" s="178"/>
      <c r="B35" s="179"/>
      <c r="C35" s="180"/>
      <c r="D35" s="181"/>
      <c r="E35" s="78"/>
      <c r="F35" s="60"/>
      <c r="G35" s="79"/>
      <c r="H35" s="78"/>
      <c r="I35" s="78"/>
      <c r="J35" s="78"/>
      <c r="K35" s="78"/>
      <c r="L35" s="78"/>
      <c r="M35" s="78"/>
      <c r="N35" s="78"/>
      <c r="O35" s="79"/>
      <c r="P35" s="80"/>
      <c r="Q35" s="159"/>
      <c r="R35" s="61">
        <f t="shared" si="19"/>
        <v>150</v>
      </c>
      <c r="S35" s="104"/>
      <c r="T35" s="159"/>
      <c r="U35" s="99"/>
      <c r="V35" s="99"/>
      <c r="W35" s="99"/>
      <c r="X35" s="99"/>
      <c r="Y35" s="99">
        <f t="shared" si="20"/>
        <v>0</v>
      </c>
      <c r="Z35" s="99">
        <f t="shared" si="21"/>
        <v>150</v>
      </c>
      <c r="AA35" s="104"/>
      <c r="AB35" s="166"/>
      <c r="AC35" s="149">
        <v>58.5</v>
      </c>
      <c r="AD35" s="102">
        <f t="shared" si="16"/>
        <v>62.25</v>
      </c>
      <c r="AE35" s="104">
        <v>3</v>
      </c>
      <c r="AF35" s="40"/>
      <c r="AG35" s="14"/>
      <c r="AH35" s="14">
        <v>103</v>
      </c>
      <c r="AI35" s="14"/>
      <c r="AJ35" s="14"/>
      <c r="AK35" s="41">
        <f t="shared" si="17"/>
        <v>0</v>
      </c>
      <c r="AL35" s="41">
        <f t="shared" si="18"/>
        <v>62.25</v>
      </c>
    </row>
    <row r="36" spans="1:38" ht="15" thickBot="1">
      <c r="A36" s="178"/>
      <c r="B36" s="179"/>
      <c r="C36" s="180"/>
      <c r="D36" s="181"/>
      <c r="Q36" s="167"/>
      <c r="R36" s="135">
        <f t="shared" si="19"/>
        <v>150</v>
      </c>
      <c r="S36" s="168"/>
      <c r="T36" s="167"/>
      <c r="U36" s="169"/>
      <c r="V36" s="169"/>
      <c r="W36" s="169"/>
      <c r="X36" s="169"/>
      <c r="Y36" s="105">
        <f t="shared" si="20"/>
        <v>0</v>
      </c>
      <c r="Z36" s="105">
        <f t="shared" si="21"/>
        <v>150</v>
      </c>
      <c r="AA36" s="168"/>
      <c r="AB36" s="171"/>
      <c r="AC36" s="163">
        <v>55.25</v>
      </c>
      <c r="AD36" s="86">
        <f t="shared" si="16"/>
        <v>67.125</v>
      </c>
      <c r="AE36" s="106">
        <v>4</v>
      </c>
      <c r="AF36" s="40"/>
      <c r="AG36" s="14"/>
      <c r="AH36" s="14">
        <v>103</v>
      </c>
      <c r="AI36" s="14"/>
      <c r="AJ36" s="14"/>
      <c r="AK36" s="41">
        <f t="shared" si="17"/>
        <v>0</v>
      </c>
      <c r="AL36" s="41">
        <f t="shared" si="18"/>
        <v>67.125</v>
      </c>
    </row>
    <row r="37" spans="1:38" ht="14">
      <c r="Y37" s="78"/>
      <c r="Z37" s="78"/>
      <c r="AA37" s="164"/>
    </row>
    <row r="38" spans="1:38" ht="14">
      <c r="Y38" s="164"/>
      <c r="Z38" s="60"/>
      <c r="AA38" s="164"/>
      <c r="AH38" s="111"/>
    </row>
    <row r="42" spans="1:38">
      <c r="A42" t="s">
        <v>76</v>
      </c>
      <c r="B42" t="s">
        <v>77</v>
      </c>
    </row>
    <row r="43" spans="1:38">
      <c r="A43" t="s">
        <v>78</v>
      </c>
      <c r="B43" t="s">
        <v>79</v>
      </c>
    </row>
    <row r="44" spans="1:38">
      <c r="A44" s="311" t="s">
        <v>80</v>
      </c>
      <c r="B44" t="s">
        <v>81</v>
      </c>
    </row>
    <row r="45" spans="1:38">
      <c r="A45" s="311"/>
    </row>
    <row r="47" spans="1:38">
      <c r="A47" t="s">
        <v>82</v>
      </c>
    </row>
    <row r="48" spans="1:38">
      <c r="A48" t="s">
        <v>83</v>
      </c>
      <c r="B48" s="120" t="s">
        <v>84</v>
      </c>
    </row>
    <row r="49" spans="1:2">
      <c r="A49" t="s">
        <v>85</v>
      </c>
      <c r="B49" s="120" t="s">
        <v>86</v>
      </c>
    </row>
    <row r="51" spans="1:2">
      <c r="A51" t="s">
        <v>87</v>
      </c>
      <c r="B51" s="120" t="s">
        <v>88</v>
      </c>
    </row>
    <row r="52" spans="1:2">
      <c r="B52" t="s">
        <v>89</v>
      </c>
    </row>
  </sheetData>
  <mergeCells count="40">
    <mergeCell ref="A44:A45"/>
    <mergeCell ref="AC1:AL1"/>
    <mergeCell ref="A1:D1"/>
    <mergeCell ref="A14:D14"/>
    <mergeCell ref="D2:D3"/>
    <mergeCell ref="B2:B3"/>
    <mergeCell ref="A2:A3"/>
    <mergeCell ref="AC2:AE2"/>
    <mergeCell ref="AF2:AL2"/>
    <mergeCell ref="AC14:AL14"/>
    <mergeCell ref="A15:A16"/>
    <mergeCell ref="B15:B16"/>
    <mergeCell ref="D15:D16"/>
    <mergeCell ref="AC30:AE30"/>
    <mergeCell ref="AF30:AL30"/>
    <mergeCell ref="A29:D29"/>
    <mergeCell ref="A30:A31"/>
    <mergeCell ref="B30:B31"/>
    <mergeCell ref="D30:D31"/>
    <mergeCell ref="AC15:AE15"/>
    <mergeCell ref="AF15:AL15"/>
    <mergeCell ref="AC29:AL29"/>
    <mergeCell ref="E30:G30"/>
    <mergeCell ref="H30:O30"/>
    <mergeCell ref="Q29:AB29"/>
    <mergeCell ref="Q30:S30"/>
    <mergeCell ref="T30:AA30"/>
    <mergeCell ref="E29:P29"/>
    <mergeCell ref="Q1:AB1"/>
    <mergeCell ref="Q2:S2"/>
    <mergeCell ref="T2:AA2"/>
    <mergeCell ref="Q14:AB14"/>
    <mergeCell ref="Q15:S15"/>
    <mergeCell ref="T15:AA15"/>
    <mergeCell ref="E1:P1"/>
    <mergeCell ref="E2:G2"/>
    <mergeCell ref="H2:O2"/>
    <mergeCell ref="E14:P14"/>
    <mergeCell ref="E15:G15"/>
    <mergeCell ref="H15:O15"/>
  </mergeCells>
  <phoneticPr fontId="1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pane ySplit="1" activePane="bottomLeft"/>
      <selection activeCell="A12" sqref="A12"/>
      <selection pane="bottomLeft" activeCell="B4" sqref="B4"/>
    </sheetView>
  </sheetViews>
  <sheetFormatPr baseColWidth="10" defaultColWidth="8.83203125" defaultRowHeight="12" x14ac:dyDescent="0"/>
  <cols>
    <col min="1" max="256" width="11.5" customWidth="1"/>
  </cols>
  <sheetData>
    <row r="1" spans="1:3" ht="18">
      <c r="A1" s="1" t="s">
        <v>20</v>
      </c>
      <c r="B1" s="1"/>
      <c r="C1" s="1"/>
    </row>
    <row r="2" spans="1:3" ht="18">
      <c r="A2" s="2">
        <v>0.6</v>
      </c>
      <c r="B2" s="1" t="s">
        <v>21</v>
      </c>
      <c r="C2" s="1">
        <v>1</v>
      </c>
    </row>
    <row r="3" spans="1:3" ht="18">
      <c r="A3" s="2">
        <v>0.56999999999999995</v>
      </c>
      <c r="B3" s="3">
        <v>0.59899999999999998</v>
      </c>
      <c r="C3" s="1">
        <v>2</v>
      </c>
    </row>
    <row r="4" spans="1:3" ht="18">
      <c r="A4" s="1">
        <v>54</v>
      </c>
      <c r="B4" s="1">
        <v>56.9</v>
      </c>
      <c r="C4" s="1">
        <v>3</v>
      </c>
    </row>
    <row r="5" spans="1:3" ht="18">
      <c r="A5" s="1">
        <v>51</v>
      </c>
      <c r="B5" s="1">
        <v>53.9</v>
      </c>
      <c r="C5" s="1">
        <v>4</v>
      </c>
    </row>
    <row r="6" spans="1:3" ht="18">
      <c r="A6" s="1">
        <v>48</v>
      </c>
      <c r="B6" s="1">
        <v>50.9</v>
      </c>
      <c r="C6" s="1">
        <v>5</v>
      </c>
    </row>
    <row r="7" spans="1:3" ht="18">
      <c r="A7" s="1">
        <v>45</v>
      </c>
      <c r="B7" s="1">
        <v>47.9</v>
      </c>
      <c r="C7" s="1">
        <v>6</v>
      </c>
    </row>
  </sheetData>
  <sheetProtection selectLockedCells="1" selectUnlockedCells="1"/>
  <phoneticPr fontId="0" type="noConversion"/>
  <pageMargins left="0.78749999999999998" right="0.78749999999999998" top="0.98402777777777772" bottom="0.98402777777777772" header="0.51180555555555551" footer="0.5118055555555555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Compilation Dressage</vt:lpstr>
      <vt:lpstr>Compilation ECombine</vt:lpstr>
      <vt:lpstr>Feuil1</vt:lpstr>
    </vt:vector>
  </TitlesOfParts>
  <Company>Produits Belt-Tech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snerbonne</dc:creator>
  <cp:lastModifiedBy>Anne Laplante</cp:lastModifiedBy>
  <cp:lastPrinted>2016-05-07T20:41:22Z</cp:lastPrinted>
  <dcterms:created xsi:type="dcterms:W3CDTF">2012-07-30T15:15:08Z</dcterms:created>
  <dcterms:modified xsi:type="dcterms:W3CDTF">2016-08-11T04:17:56Z</dcterms:modified>
</cp:coreProperties>
</file>